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defaultThemeVersion="124226"/>
  <xr:revisionPtr revIDLastSave="0" documentId="13_ncr:1_{CA8C4F9D-5239-4698-814C-8F6C89080CDE}" xr6:coauthVersionLast="45" xr6:coauthVersionMax="45" xr10:uidLastSave="{00000000-0000-0000-0000-000000000000}"/>
  <bookViews>
    <workbookView xWindow="-28920" yWindow="-120" windowWidth="29040" windowHeight="15990" xr2:uid="{00000000-000D-0000-FFFF-FFFF00000000}"/>
  </bookViews>
  <sheets>
    <sheet name="Schacht DN 1500 " sheetId="1" r:id="rId1"/>
    <sheet name="Berechnung" sheetId="2" state="hidden" r:id="rId2"/>
  </sheets>
  <definedNames>
    <definedName name="Abstand">Berechnung!$A$4:$B$7</definedName>
    <definedName name="DN">'Schacht DN 1500 '!#REF!</definedName>
    <definedName name="DNdR1500">Berechnung!$J$5:$J$18</definedName>
    <definedName name="_xlnm.Print_Area" localSheetId="0">'Schacht DN 1500 '!$A$1:$S$42</definedName>
    <definedName name="Hoehe">Berechnung!$N$4:$N$74</definedName>
    <definedName name="Material">Berechnung!$P$4:$P$14</definedName>
    <definedName name="Muffenplatz">Berechnung!$J$5:$L$18</definedName>
    <definedName name="Schildmaße">Berechnung!$D$5:$F$6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D23" i="1" l="1"/>
  <c r="BD24" i="1" s="1"/>
  <c r="BD20" i="1"/>
  <c r="BD21" i="1" s="1"/>
  <c r="BD17" i="1"/>
  <c r="BD18" i="1" s="1"/>
  <c r="BD14" i="1"/>
  <c r="BD15" i="1" s="1"/>
  <c r="BD11" i="1"/>
  <c r="BD12" i="1" s="1"/>
  <c r="K5" i="2"/>
  <c r="L5" i="2" s="1"/>
  <c r="AQ16" i="1" l="1"/>
  <c r="AQ17" i="1" s="1"/>
  <c r="AQ18" i="1" s="1"/>
  <c r="Q17" i="1"/>
  <c r="AQ19" i="1"/>
  <c r="AQ20" i="1" s="1"/>
  <c r="AQ21" i="1" s="1"/>
  <c r="AQ22" i="1"/>
  <c r="AQ23" i="1" s="1"/>
  <c r="AQ24" i="1" s="1"/>
  <c r="AQ25" i="1"/>
  <c r="AQ26" i="1" s="1"/>
  <c r="AX17" i="1"/>
  <c r="AX11" i="1"/>
  <c r="AX15" i="1" s="1"/>
  <c r="AE8" i="1"/>
  <c r="AJ11" i="1" s="1"/>
  <c r="AE9" i="1"/>
  <c r="AG10" i="1" s="1"/>
  <c r="AE10" i="1"/>
  <c r="AE11" i="1"/>
  <c r="K18" i="2"/>
  <c r="L18" i="2" s="1"/>
  <c r="K17" i="2"/>
  <c r="L17" i="2" s="1"/>
  <c r="K16" i="2"/>
  <c r="L16" i="2" s="1"/>
  <c r="K15" i="2"/>
  <c r="L15" i="2" s="1"/>
  <c r="K14" i="2"/>
  <c r="L14" i="2" s="1"/>
  <c r="K13" i="2"/>
  <c r="L13" i="2" s="1"/>
  <c r="K12" i="2"/>
  <c r="L12" i="2" s="1"/>
  <c r="K11" i="2"/>
  <c r="L11" i="2" s="1"/>
  <c r="K10" i="2"/>
  <c r="L10" i="2" s="1"/>
  <c r="K9" i="2"/>
  <c r="L9" i="2" s="1"/>
  <c r="K8" i="2"/>
  <c r="L8" i="2" s="1"/>
  <c r="K7" i="2"/>
  <c r="L7" i="2" s="1"/>
  <c r="K6" i="2"/>
  <c r="L6" i="2" s="1"/>
  <c r="N5" i="2"/>
  <c r="N6" i="2" s="1"/>
  <c r="N7" i="2" s="1"/>
  <c r="N8" i="2" s="1"/>
  <c r="N9" i="2" s="1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  <c r="N35" i="2" s="1"/>
  <c r="N36" i="2" s="1"/>
  <c r="N37" i="2" s="1"/>
  <c r="N38" i="2" s="1"/>
  <c r="N39" i="2" s="1"/>
  <c r="N40" i="2" s="1"/>
  <c r="N41" i="2" s="1"/>
  <c r="N42" i="2" s="1"/>
  <c r="N43" i="2" s="1"/>
  <c r="N44" i="2" s="1"/>
  <c r="N45" i="2" s="1"/>
  <c r="N46" i="2" s="1"/>
  <c r="N47" i="2" s="1"/>
  <c r="N48" i="2" s="1"/>
  <c r="N49" i="2" s="1"/>
  <c r="N50" i="2" s="1"/>
  <c r="N51" i="2" s="1"/>
  <c r="N52" i="2" s="1"/>
  <c r="N53" i="2" s="1"/>
  <c r="N54" i="2" s="1"/>
  <c r="N55" i="2" s="1"/>
  <c r="N56" i="2" s="1"/>
  <c r="N57" i="2" s="1"/>
  <c r="N58" i="2" s="1"/>
  <c r="N59" i="2" s="1"/>
  <c r="N60" i="2" s="1"/>
  <c r="N61" i="2" s="1"/>
  <c r="N62" i="2" s="1"/>
  <c r="N63" i="2" s="1"/>
  <c r="N64" i="2" s="1"/>
  <c r="N65" i="2" s="1"/>
  <c r="N66" i="2" s="1"/>
  <c r="N67" i="2" s="1"/>
  <c r="N68" i="2" s="1"/>
  <c r="N69" i="2" s="1"/>
  <c r="N70" i="2" s="1"/>
  <c r="N71" i="2" s="1"/>
  <c r="N72" i="2" s="1"/>
  <c r="N73" i="2" s="1"/>
  <c r="N74" i="2" s="1"/>
  <c r="AG9" i="1" l="1"/>
  <c r="BD16" i="1"/>
  <c r="BD25" i="1"/>
  <c r="BD22" i="1"/>
  <c r="AX23" i="1"/>
  <c r="BD10" i="1"/>
  <c r="BD13" i="1" s="1"/>
  <c r="BD19" i="1"/>
  <c r="AQ27" i="1"/>
  <c r="AJ9" i="1"/>
  <c r="AJ10" i="1"/>
  <c r="AG11" i="1"/>
  <c r="AJ8" i="1"/>
  <c r="AG8" i="1"/>
  <c r="AG25" i="1"/>
  <c r="AG19" i="1"/>
  <c r="AG22" i="1"/>
  <c r="AG16" i="1"/>
  <c r="BD26" i="1" l="1"/>
  <c r="BD27" i="1" s="1"/>
  <c r="BD28" i="1" s="1"/>
  <c r="BD33" i="1" s="1"/>
  <c r="V11" i="1"/>
  <c r="V10" i="1"/>
  <c r="V9" i="1"/>
  <c r="V8" i="1"/>
  <c r="T24" i="1"/>
  <c r="AA8" i="1" l="1"/>
  <c r="AK8" i="1" s="1"/>
  <c r="AA9" i="1"/>
  <c r="AK9" i="1" s="1"/>
  <c r="AA11" i="1"/>
  <c r="AK11" i="1" s="1"/>
  <c r="AA10" i="1"/>
  <c r="W11" i="1"/>
  <c r="W8" i="1"/>
  <c r="W10" i="1"/>
  <c r="X11" i="1" s="1"/>
  <c r="W9" i="1"/>
  <c r="Q16" i="1"/>
  <c r="AX12" i="1" s="1"/>
  <c r="AX13" i="1" s="1"/>
  <c r="Y21" i="1" l="1"/>
  <c r="X10" i="1"/>
  <c r="Y23" i="1" s="1"/>
  <c r="X8" i="1"/>
  <c r="Y8" i="1" s="1"/>
  <c r="AH8" i="1" s="1"/>
  <c r="AX14" i="1"/>
  <c r="G6" i="2"/>
  <c r="G5" i="2"/>
  <c r="AF8" i="1"/>
  <c r="X9" i="1"/>
  <c r="Y20" i="1" s="1"/>
  <c r="AF9" i="1"/>
  <c r="Y27" i="1"/>
  <c r="Y24" i="1"/>
  <c r="AK10" i="1"/>
  <c r="AF10" i="1"/>
  <c r="AF11" i="1"/>
  <c r="Y26" i="1"/>
  <c r="AB9" i="1"/>
  <c r="AC9" i="1" s="1"/>
  <c r="Y25" i="1"/>
  <c r="Y19" i="1"/>
  <c r="Y22" i="1"/>
  <c r="Y16" i="1"/>
  <c r="AB11" i="1"/>
  <c r="AC11" i="1" s="1"/>
  <c r="AB10" i="1"/>
  <c r="AC10" i="1" s="1"/>
  <c r="Y18" i="1"/>
  <c r="AB8" i="1"/>
  <c r="AC8" i="1" s="1"/>
  <c r="AX18" i="1" l="1"/>
  <c r="AX22" i="1"/>
  <c r="Y17" i="1"/>
  <c r="H5" i="2"/>
  <c r="F5" i="2" s="1"/>
  <c r="H6" i="2"/>
  <c r="F6" i="2" s="1"/>
  <c r="AL16" i="1" s="1"/>
  <c r="AX24" i="1"/>
  <c r="AL10" i="1"/>
  <c r="AO10" i="1" s="1"/>
  <c r="Z24" i="1" s="1"/>
  <c r="AC24" i="1" s="1"/>
  <c r="AG24" i="1" s="1"/>
  <c r="AL9" i="1"/>
  <c r="AO9" i="1" s="1"/>
  <c r="Z21" i="1" s="1"/>
  <c r="AC21" i="1" s="1"/>
  <c r="AG21" i="1" s="1"/>
  <c r="AL11" i="1"/>
  <c r="AO11" i="1" s="1"/>
  <c r="Z27" i="1" s="1"/>
  <c r="AC27" i="1" s="1"/>
  <c r="AG27" i="1" s="1"/>
  <c r="AL8" i="1"/>
  <c r="AO8" i="1" s="1"/>
  <c r="Z18" i="1" s="1"/>
  <c r="Y11" i="1"/>
  <c r="Y10" i="1"/>
  <c r="Y9" i="1"/>
  <c r="AI8" i="1"/>
  <c r="AL19" i="1" l="1"/>
  <c r="AL22" i="1"/>
  <c r="AL25" i="1"/>
  <c r="Z10" i="1"/>
  <c r="AH10" i="1"/>
  <c r="AI10" i="1" s="1"/>
  <c r="Z9" i="1"/>
  <c r="AH9" i="1"/>
  <c r="AI9" i="1" s="1"/>
  <c r="Z11" i="1"/>
  <c r="AH11" i="1"/>
  <c r="AI11" i="1" s="1"/>
  <c r="AC18" i="1"/>
  <c r="AF18" i="1" s="1"/>
  <c r="Z8" i="1"/>
  <c r="AX19" i="1"/>
  <c r="AN11" i="1" l="1"/>
  <c r="Z26" i="1" s="1"/>
  <c r="AC26" i="1" s="1"/>
  <c r="AN10" i="1"/>
  <c r="Z23" i="1" s="1"/>
  <c r="AC23" i="1" s="1"/>
  <c r="AX20" i="1"/>
  <c r="AX21" i="1" s="1"/>
  <c r="BD31" i="1" s="1"/>
  <c r="AN9" i="1"/>
  <c r="Z20" i="1" s="1"/>
  <c r="AC20" i="1" s="1"/>
  <c r="AG20" i="1" s="1"/>
  <c r="AN8" i="1"/>
  <c r="Z17" i="1" s="1"/>
  <c r="AG18" i="1"/>
  <c r="AF20" i="1" l="1"/>
  <c r="AG26" i="1"/>
  <c r="AF26" i="1"/>
  <c r="AG23" i="1"/>
  <c r="AF23" i="1"/>
  <c r="AC17" i="1"/>
  <c r="AF17" i="1" s="1"/>
  <c r="AF21" i="1" s="1"/>
  <c r="Y2" i="1"/>
  <c r="AF24" i="1" l="1"/>
  <c r="M26" i="1" s="1"/>
  <c r="AF27" i="1"/>
  <c r="M27" i="1" s="1"/>
  <c r="M25" i="1"/>
  <c r="AG17" i="1"/>
  <c r="T27" i="1"/>
  <c r="T26" i="1"/>
  <c r="T25" i="1"/>
  <c r="G18" i="1" l="1"/>
  <c r="G19" i="1" s="1"/>
  <c r="AX16" i="1" l="1"/>
  <c r="AY16" i="1"/>
  <c r="G17" i="1"/>
  <c r="AM20" i="1" l="1"/>
  <c r="AM21" i="1" s="1"/>
  <c r="AS21" i="1" s="1"/>
  <c r="AM23" i="1"/>
  <c r="AM24" i="1" s="1"/>
  <c r="AS24" i="1" s="1"/>
  <c r="AM17" i="1"/>
  <c r="AM18" i="1" s="1"/>
  <c r="AS18" i="1" s="1"/>
  <c r="AX25" i="1"/>
  <c r="AX26" i="1" s="1"/>
  <c r="AX27" i="1" s="1"/>
  <c r="BD32" i="1" s="1"/>
  <c r="AL23" i="1"/>
  <c r="AL24" i="1" s="1"/>
  <c r="AR24" i="1" s="1"/>
  <c r="AL20" i="1"/>
  <c r="AL21" i="1" s="1"/>
  <c r="AR21" i="1" s="1"/>
  <c r="AL17" i="1"/>
  <c r="AL18" i="1" s="1"/>
  <c r="AR18" i="1" s="1"/>
  <c r="AM26" i="1"/>
  <c r="AM27" i="1" s="1"/>
  <c r="AS27" i="1" s="1"/>
  <c r="AL26" i="1"/>
  <c r="AL27" i="1" s="1"/>
  <c r="AR27" i="1" s="1"/>
  <c r="O19" i="1"/>
  <c r="AY25" i="1"/>
  <c r="AY26" i="1" s="1"/>
  <c r="AY27" i="1" s="1"/>
  <c r="BE32" i="1" s="1"/>
  <c r="O18" i="1"/>
  <c r="AR28" i="1" l="1"/>
  <c r="BD34" i="1" s="1"/>
  <c r="BD35" i="1" s="1"/>
  <c r="BD37" i="1" s="1"/>
  <c r="Q18" i="1" s="1"/>
  <c r="AS28" i="1"/>
  <c r="BE34" i="1" s="1"/>
  <c r="BE35" i="1" s="1"/>
  <c r="BE37" i="1" s="1"/>
  <c r="Q19" i="1" s="1"/>
</calcChain>
</file>

<file path=xl/sharedStrings.xml><?xml version="1.0" encoding="utf-8"?>
<sst xmlns="http://schemas.openxmlformats.org/spreadsheetml/2006/main" count="338" uniqueCount="154">
  <si>
    <t>Bauvorhaben</t>
  </si>
  <si>
    <t>Bauherr</t>
  </si>
  <si>
    <t>Planer</t>
  </si>
  <si>
    <t>Baufirma</t>
  </si>
  <si>
    <t>Ersteller</t>
  </si>
  <si>
    <t>Schachtunterteil:</t>
  </si>
  <si>
    <t>Schachtgröße</t>
  </si>
  <si>
    <t>DN</t>
  </si>
  <si>
    <t>[mm]</t>
  </si>
  <si>
    <t>Wandstärken</t>
  </si>
  <si>
    <t>t</t>
  </si>
  <si>
    <t>(Wandstärke)</t>
  </si>
  <si>
    <t>Bauhöhe</t>
  </si>
  <si>
    <t>h</t>
  </si>
  <si>
    <t>(mindestens)</t>
  </si>
  <si>
    <r>
      <t>t</t>
    </r>
    <r>
      <rPr>
        <vertAlign val="subscript"/>
        <sz val="10"/>
        <color theme="1"/>
        <rFont val="Arial"/>
        <family val="2"/>
      </rPr>
      <t>3</t>
    </r>
  </si>
  <si>
    <t>(Bodenplatte)</t>
  </si>
  <si>
    <r>
      <t>h</t>
    </r>
    <r>
      <rPr>
        <vertAlign val="subscript"/>
        <sz val="10"/>
        <color theme="1"/>
        <rFont val="Arial"/>
        <family val="2"/>
      </rPr>
      <t>ges</t>
    </r>
  </si>
  <si>
    <t xml:space="preserve"> [t]</t>
  </si>
  <si>
    <t>(gewählt)</t>
  </si>
  <si>
    <t>Rohranschlüsse:</t>
  </si>
  <si>
    <t>min.</t>
  </si>
  <si>
    <t>Volumen Schild</t>
  </si>
  <si>
    <t>Material</t>
  </si>
  <si>
    <t>DNdR1500</t>
  </si>
  <si>
    <t>Höhe</t>
  </si>
  <si>
    <t>Position</t>
  </si>
  <si>
    <t>Höhen-versatz</t>
  </si>
  <si>
    <t>Hinweise:</t>
  </si>
  <si>
    <t>Höhenversatz zzgl. Anschluss</t>
  </si>
  <si>
    <t>Boden</t>
  </si>
  <si>
    <t>Beton</t>
  </si>
  <si>
    <t>[gon]</t>
  </si>
  <si>
    <t>IST</t>
  </si>
  <si>
    <t>KANN</t>
  </si>
  <si>
    <t>Steinzeug HL</t>
  </si>
  <si>
    <t>Auslauf</t>
  </si>
  <si>
    <t>Gewicht Boden</t>
  </si>
  <si>
    <t>Steinzeug NL</t>
  </si>
  <si>
    <t>Zulauf 1</t>
  </si>
  <si>
    <t>Position (mittig)</t>
  </si>
  <si>
    <t>Aufbau ohne An-schlüsse</t>
  </si>
  <si>
    <t>KG</t>
  </si>
  <si>
    <t>Zulauf 2</t>
  </si>
  <si>
    <t>Sonstiges</t>
  </si>
  <si>
    <t>Zulauf 3</t>
  </si>
  <si>
    <t>von</t>
  </si>
  <si>
    <t>bis</t>
  </si>
  <si>
    <t>https://betonwerk-bieren.de/kontakt/</t>
  </si>
  <si>
    <t>Mindestbauhöhe</t>
  </si>
  <si>
    <t>Ihr Schacht ist nicht konfigurierbar? Gerne finden wir mit Ihnen eine Lösung für Ihr Projekt!</t>
  </si>
  <si>
    <t>Die Position für den Auslauf liegt immer bei 0 gon.</t>
  </si>
  <si>
    <t>Gewicht*</t>
  </si>
  <si>
    <t>Schachtnr.</t>
  </si>
  <si>
    <t>Schildabstände</t>
  </si>
  <si>
    <t>kl.kl</t>
  </si>
  <si>
    <t>kl.gr</t>
  </si>
  <si>
    <t>gr.gr</t>
  </si>
  <si>
    <t>Blech</t>
  </si>
  <si>
    <t>Abstand</t>
  </si>
  <si>
    <t>Kürzel</t>
  </si>
  <si>
    <t>gr.kl</t>
  </si>
  <si>
    <t xml:space="preserve">Schild </t>
  </si>
  <si>
    <t>VOR</t>
  </si>
  <si>
    <t>gesamt</t>
  </si>
  <si>
    <t>NACH</t>
  </si>
  <si>
    <t>Nach</t>
  </si>
  <si>
    <t>Schild</t>
  </si>
  <si>
    <t>Selbst</t>
  </si>
  <si>
    <t>Schildlänge</t>
  </si>
  <si>
    <t>mittig</t>
  </si>
  <si>
    <t>min.max. / Schild-Position</t>
  </si>
  <si>
    <t>Schildgröße</t>
  </si>
  <si>
    <t>kl</t>
  </si>
  <si>
    <t>gr</t>
  </si>
  <si>
    <t>[m]</t>
  </si>
  <si>
    <t>Platzbedarf</t>
  </si>
  <si>
    <t>rechnerisch</t>
  </si>
  <si>
    <t>gewählt</t>
  </si>
  <si>
    <t>Vormuffe</t>
  </si>
  <si>
    <t>Nachmuffe</t>
  </si>
  <si>
    <t>Gesamt</t>
  </si>
  <si>
    <t>Auswertung</t>
  </si>
  <si>
    <t>[m²]</t>
  </si>
  <si>
    <t>Wand-stärke</t>
  </si>
  <si>
    <t>Grund-daten</t>
  </si>
  <si>
    <t>d (außen)</t>
  </si>
  <si>
    <t>r (außen)</t>
  </si>
  <si>
    <t>Fläche</t>
  </si>
  <si>
    <t>Rohdichte</t>
  </si>
  <si>
    <t>[m³]</t>
  </si>
  <si>
    <t>[t]</t>
  </si>
  <si>
    <t>[t/m³]</t>
  </si>
  <si>
    <t>Volumen Beton</t>
  </si>
  <si>
    <t>Volumen</t>
  </si>
  <si>
    <t>Fläche d außen</t>
  </si>
  <si>
    <t>Fläche d innen</t>
  </si>
  <si>
    <t>r (innen)</t>
  </si>
  <si>
    <t>Flächendiff</t>
  </si>
  <si>
    <t>Bauhöhe ohne Boden</t>
  </si>
  <si>
    <t>Gewicht Aufbau</t>
  </si>
  <si>
    <t>Gewichte Anschlüsse</t>
  </si>
  <si>
    <t>DN+2*t</t>
  </si>
  <si>
    <t>Mittelpunkts-winkel</t>
  </si>
  <si>
    <t>[alpha]</t>
  </si>
  <si>
    <t>Länge</t>
  </si>
  <si>
    <t>Fläche Schild</t>
  </si>
  <si>
    <t>Gewicht Schild</t>
  </si>
  <si>
    <t>Gewichte Schilde</t>
  </si>
  <si>
    <t>Volumen Anschluss</t>
  </si>
  <si>
    <t>Gewicht Anschluss</t>
  </si>
  <si>
    <t>Anschluss DN</t>
  </si>
  <si>
    <t>Anschlussrechner</t>
  </si>
  <si>
    <t>Gewichtsrechner - Anschlüsse</t>
  </si>
  <si>
    <t>Gewichtsrechner - Grundkörper</t>
  </si>
  <si>
    <t>Summe Gewicht Anschlüsse</t>
  </si>
  <si>
    <r>
      <t>Höhe OK d</t>
    </r>
    <r>
      <rPr>
        <vertAlign val="subscript"/>
        <sz val="10"/>
        <color theme="1"/>
        <rFont val="Arial"/>
        <family val="2"/>
      </rPr>
      <t>R</t>
    </r>
    <r>
      <rPr>
        <sz val="10"/>
        <color theme="1"/>
        <rFont val="Arial"/>
        <family val="2"/>
      </rPr>
      <t xml:space="preserve"> bis 
Höhe OK UT</t>
    </r>
  </si>
  <si>
    <t>Schildabstände ( r = DN + 2*t )</t>
  </si>
  <si>
    <t>Muffenabstände ( r = DN )</t>
  </si>
  <si>
    <t>Gerinne</t>
  </si>
  <si>
    <t>max dR</t>
  </si>
  <si>
    <t>h1</t>
  </si>
  <si>
    <t>Gewicht</t>
  </si>
  <si>
    <t>Abzug A</t>
  </si>
  <si>
    <t>Abzug E1</t>
  </si>
  <si>
    <t>Abzug E2</t>
  </si>
  <si>
    <t>Abzug E3</t>
  </si>
  <si>
    <t>Abzüge</t>
  </si>
  <si>
    <t>[dR]</t>
  </si>
  <si>
    <t>Faktor</t>
  </si>
  <si>
    <t>Gewichtsrechner - Gerinne</t>
  </si>
  <si>
    <t>Gewichtsauswertung</t>
  </si>
  <si>
    <t>Anschlüsse</t>
  </si>
  <si>
    <t>Aufbau</t>
  </si>
  <si>
    <t>PP</t>
  </si>
  <si>
    <t>PVC</t>
  </si>
  <si>
    <t>GFK</t>
  </si>
  <si>
    <t>Connex</t>
  </si>
  <si>
    <t>Friatec</t>
  </si>
  <si>
    <t>raue Öffnung</t>
  </si>
  <si>
    <t>Sicherheitsfaktor</t>
  </si>
  <si>
    <t>Gesamt + SF</t>
  </si>
  <si>
    <r>
      <t xml:space="preserve">Planungshilfe für schalungserhärtete Schachtunterteile </t>
    </r>
    <r>
      <rPr>
        <b/>
        <sz val="16"/>
        <color rgb="FFC00000"/>
        <rFont val="Arial"/>
        <family val="2"/>
      </rPr>
      <t>DN 1500</t>
    </r>
  </si>
  <si>
    <t>* Gewichtsangaben beziehen sich auf eine reguläre Schachtausführung nach DIN EN 1917 sowie DIN 4034-1 und können durch z.B. Abstürze vom anggebenden Gewicht abweichen. Planen Sie ausreichend Hubkraft ein.</t>
  </si>
  <si>
    <t>Information:</t>
  </si>
  <si>
    <t>Skizze:</t>
  </si>
  <si>
    <t>→</t>
  </si>
  <si>
    <t>Unsere Ansprechpartner stehen Ihnen jederzeit zur Verfügung.</t>
  </si>
  <si>
    <t>Betonwerk Bieren • Schachtplanungshilfe • Version 1.0 • Sie haben Fragen?</t>
  </si>
  <si>
    <t>Baustelle Musterstraße Los 8a</t>
  </si>
  <si>
    <t>Ingenieurbüro Musterbau</t>
  </si>
  <si>
    <t>Max Mustermann</t>
  </si>
  <si>
    <t>Stadtwerke Musterhase</t>
  </si>
  <si>
    <t>Tiefbau Musterbaggerei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</si>
</sst>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\ &quot;gon&quot;"/>
    <numFmt numFmtId="166" formatCode="0.000"/>
  </numFmts>
  <fonts count="2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C00000"/>
      <name val="Arial"/>
      <family val="2"/>
    </font>
    <font>
      <b/>
      <sz val="16"/>
      <color rgb="FFC000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vertAlign val="subscript"/>
      <sz val="10"/>
      <color theme="1"/>
      <name val="Arial"/>
      <family val="2"/>
    </font>
    <font>
      <b/>
      <i/>
      <u/>
      <sz val="12"/>
      <color rgb="FFFF0000"/>
      <name val="Arial"/>
      <family val="2"/>
    </font>
    <font>
      <sz val="8"/>
      <color theme="1"/>
      <name val="Arial"/>
      <family val="2"/>
    </font>
    <font>
      <b/>
      <sz val="8"/>
      <color rgb="FFC00000"/>
      <name val="Arial"/>
      <family val="2"/>
    </font>
    <font>
      <sz val="8"/>
      <color rgb="FFC00000"/>
      <name val="Arial"/>
      <family val="2"/>
    </font>
    <font>
      <b/>
      <sz val="16"/>
      <color theme="1"/>
      <name val="Arial"/>
      <family val="2"/>
    </font>
    <font>
      <b/>
      <sz val="10"/>
      <color rgb="FFC00000"/>
      <name val="Arial"/>
      <family val="2"/>
    </font>
    <font>
      <b/>
      <u/>
      <sz val="12"/>
      <color rgb="FFC00000"/>
      <name val="Arial"/>
      <family val="2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DCB52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 style="medium">
        <color auto="1"/>
      </top>
      <bottom/>
      <diagonal/>
    </border>
    <border>
      <left/>
      <right style="thick">
        <color rgb="FFC00000"/>
      </right>
      <top style="medium">
        <color auto="1"/>
      </top>
      <bottom style="hair">
        <color auto="1"/>
      </bottom>
      <diagonal/>
    </border>
    <border>
      <left style="thick">
        <color rgb="FFC00000"/>
      </left>
      <right/>
      <top/>
      <bottom style="hair">
        <color auto="1"/>
      </bottom>
      <diagonal/>
    </border>
    <border>
      <left/>
      <right style="thick">
        <color rgb="FFC00000"/>
      </right>
      <top style="hair">
        <color auto="1"/>
      </top>
      <bottom style="hair">
        <color auto="1"/>
      </bottom>
      <diagonal/>
    </border>
    <border>
      <left style="thick">
        <color rgb="FFC00000"/>
      </left>
      <right/>
      <top style="hair">
        <color auto="1"/>
      </top>
      <bottom style="hair">
        <color auto="1"/>
      </bottom>
      <diagonal/>
    </border>
    <border>
      <left style="thick">
        <color rgb="FFC00000"/>
      </left>
      <right/>
      <top style="hair">
        <color auto="1"/>
      </top>
      <bottom style="thick">
        <color rgb="FFC00000"/>
      </bottom>
      <diagonal/>
    </border>
    <border>
      <left/>
      <right style="medium">
        <color auto="1"/>
      </right>
      <top style="hair">
        <color auto="1"/>
      </top>
      <bottom style="thick">
        <color rgb="FFC00000"/>
      </bottom>
      <diagonal/>
    </border>
    <border>
      <left style="medium">
        <color auto="1"/>
      </left>
      <right/>
      <top style="hair">
        <color auto="1"/>
      </top>
      <bottom style="thick">
        <color rgb="FFC00000"/>
      </bottom>
      <diagonal/>
    </border>
    <border>
      <left/>
      <right/>
      <top style="hair">
        <color auto="1"/>
      </top>
      <bottom style="thick">
        <color rgb="FFC00000"/>
      </bottom>
      <diagonal/>
    </border>
    <border>
      <left/>
      <right style="thick">
        <color rgb="FFC00000"/>
      </right>
      <top style="hair">
        <color auto="1"/>
      </top>
      <bottom style="thick">
        <color rgb="FFC00000"/>
      </bottom>
      <diagonal/>
    </border>
    <border>
      <left style="thick">
        <color rgb="FFC00000"/>
      </left>
      <right/>
      <top style="medium">
        <color auto="1"/>
      </top>
      <bottom style="hair">
        <color auto="1"/>
      </bottom>
      <diagonal/>
    </border>
    <border>
      <left style="thick">
        <color rgb="FFC00000"/>
      </left>
      <right/>
      <top style="thick">
        <color rgb="FFC00000"/>
      </top>
      <bottom style="medium">
        <color indexed="64"/>
      </bottom>
      <diagonal/>
    </border>
    <border>
      <left/>
      <right style="thick">
        <color rgb="FFC00000"/>
      </right>
      <top style="thick">
        <color rgb="FFC00000"/>
      </top>
      <bottom style="medium">
        <color indexed="64"/>
      </bottom>
      <diagonal/>
    </border>
    <border>
      <left/>
      <right style="thick">
        <color rgb="FFC00000"/>
      </right>
      <top/>
      <bottom style="hair">
        <color auto="1"/>
      </bottom>
      <diagonal/>
    </border>
    <border>
      <left style="thick">
        <color rgb="FFC00000"/>
      </left>
      <right style="medium">
        <color indexed="64"/>
      </right>
      <top style="thick">
        <color rgb="FFC00000"/>
      </top>
      <bottom/>
      <diagonal/>
    </border>
    <border>
      <left style="medium">
        <color indexed="64"/>
      </left>
      <right/>
      <top style="thick">
        <color rgb="FFC00000"/>
      </top>
      <bottom style="medium">
        <color indexed="64"/>
      </bottom>
      <diagonal/>
    </border>
    <border>
      <left/>
      <right/>
      <top style="thick">
        <color rgb="FFC00000"/>
      </top>
      <bottom style="medium">
        <color indexed="64"/>
      </bottom>
      <diagonal/>
    </border>
    <border>
      <left/>
      <right style="medium">
        <color indexed="64"/>
      </right>
      <top style="thick">
        <color rgb="FFC00000"/>
      </top>
      <bottom style="medium">
        <color indexed="64"/>
      </bottom>
      <diagonal/>
    </border>
    <border>
      <left style="medium">
        <color indexed="64"/>
      </left>
      <right/>
      <top style="thick">
        <color rgb="FFC00000"/>
      </top>
      <bottom/>
      <diagonal/>
    </border>
    <border>
      <left style="thick">
        <color rgb="FFC00000"/>
      </left>
      <right style="medium">
        <color indexed="64"/>
      </right>
      <top/>
      <bottom/>
      <diagonal/>
    </border>
    <border>
      <left style="thick">
        <color rgb="FFC00000"/>
      </left>
      <right style="medium">
        <color indexed="64"/>
      </right>
      <top/>
      <bottom style="thick">
        <color rgb="FFC00000"/>
      </bottom>
      <diagonal/>
    </border>
    <border>
      <left style="medium">
        <color indexed="64"/>
      </left>
      <right/>
      <top/>
      <bottom style="thick">
        <color rgb="FFC00000"/>
      </bottom>
      <diagonal/>
    </border>
    <border>
      <left/>
      <right/>
      <top style="thick">
        <color rgb="FFC00000"/>
      </top>
      <bottom style="hair">
        <color auto="1"/>
      </bottom>
      <diagonal/>
    </border>
    <border>
      <left/>
      <right style="medium">
        <color auto="1"/>
      </right>
      <top style="thick">
        <color rgb="FFC00000"/>
      </top>
      <bottom style="hair">
        <color auto="1"/>
      </bottom>
      <diagonal/>
    </border>
    <border>
      <left style="medium">
        <color indexed="64"/>
      </left>
      <right/>
      <top style="thick">
        <color rgb="FFC00000"/>
      </top>
      <bottom style="hair">
        <color auto="1"/>
      </bottom>
      <diagonal/>
    </border>
    <border>
      <left/>
      <right style="thick">
        <color rgb="FFC00000"/>
      </right>
      <top style="thick">
        <color rgb="FFC00000"/>
      </top>
      <bottom style="hair">
        <color auto="1"/>
      </bottom>
      <diagonal/>
    </border>
    <border>
      <left style="thick">
        <color rgb="FFC00000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thick">
        <color rgb="FFC00000"/>
      </right>
      <top style="hair">
        <color theme="1"/>
      </top>
      <bottom style="hair">
        <color theme="1"/>
      </bottom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C00000"/>
      </left>
      <right/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/>
      <right style="thick">
        <color rgb="FFC00000"/>
      </right>
      <top/>
      <bottom style="hair">
        <color theme="1"/>
      </bottom>
      <diagonal/>
    </border>
    <border>
      <left style="thick">
        <color rgb="FFC00000"/>
      </left>
      <right/>
      <top style="hair">
        <color theme="1"/>
      </top>
      <bottom style="medium">
        <color auto="1"/>
      </bottom>
      <diagonal/>
    </border>
    <border>
      <left/>
      <right/>
      <top style="hair">
        <color theme="1"/>
      </top>
      <bottom style="medium">
        <color auto="1"/>
      </bottom>
      <diagonal/>
    </border>
    <border>
      <left/>
      <right style="thick">
        <color rgb="FFC00000"/>
      </right>
      <top style="hair">
        <color theme="1"/>
      </top>
      <bottom style="medium">
        <color auto="1"/>
      </bottom>
      <diagonal/>
    </border>
    <border>
      <left/>
      <right/>
      <top style="hair">
        <color theme="1"/>
      </top>
      <bottom/>
      <diagonal/>
    </border>
    <border>
      <left/>
      <right style="thick">
        <color rgb="FFC00000"/>
      </right>
      <top style="hair">
        <color theme="1"/>
      </top>
      <bottom/>
      <diagonal/>
    </border>
    <border>
      <left style="thick">
        <color rgb="FFC00000"/>
      </left>
      <right/>
      <top style="medium">
        <color theme="1"/>
      </top>
      <bottom style="hair">
        <color theme="1"/>
      </bottom>
      <diagonal/>
    </border>
    <border>
      <left/>
      <right/>
      <top style="medium">
        <color theme="1"/>
      </top>
      <bottom style="hair">
        <color theme="1"/>
      </bottom>
      <diagonal/>
    </border>
    <border>
      <left/>
      <right style="thick">
        <color rgb="FFC00000"/>
      </right>
      <top style="medium">
        <color theme="1"/>
      </top>
      <bottom style="hair">
        <color theme="1"/>
      </bottom>
      <diagonal/>
    </border>
    <border>
      <left style="thick">
        <color rgb="FFC00000"/>
      </left>
      <right/>
      <top style="hair">
        <color theme="1"/>
      </top>
      <bottom style="medium">
        <color theme="1"/>
      </bottom>
      <diagonal/>
    </border>
    <border>
      <left/>
      <right/>
      <top style="hair">
        <color theme="1"/>
      </top>
      <bottom style="medium">
        <color theme="1"/>
      </bottom>
      <diagonal/>
    </border>
    <border>
      <left/>
      <right style="thick">
        <color rgb="FFC00000"/>
      </right>
      <top style="hair">
        <color theme="1"/>
      </top>
      <bottom style="medium">
        <color theme="1"/>
      </bottom>
      <diagonal/>
    </border>
    <border>
      <left style="thick">
        <color rgb="FFC00000"/>
      </left>
      <right/>
      <top/>
      <bottom style="medium">
        <color auto="1"/>
      </bottom>
      <diagonal/>
    </border>
    <border>
      <left/>
      <right style="thick">
        <color rgb="FFC00000"/>
      </right>
      <top/>
      <bottom style="medium">
        <color auto="1"/>
      </bottom>
      <diagonal/>
    </border>
    <border>
      <left/>
      <right style="thick">
        <color rgb="FFC00000"/>
      </right>
      <top/>
      <bottom/>
      <diagonal/>
    </border>
    <border>
      <left style="thick">
        <color rgb="FFC00000"/>
      </left>
      <right/>
      <top style="thick">
        <color rgb="FFC00000"/>
      </top>
      <bottom style="hair">
        <color theme="1"/>
      </bottom>
      <diagonal/>
    </border>
    <border>
      <left/>
      <right/>
      <top style="thick">
        <color rgb="FFC00000"/>
      </top>
      <bottom style="hair">
        <color theme="1"/>
      </bottom>
      <diagonal/>
    </border>
    <border>
      <left/>
      <right style="thick">
        <color rgb="FFC00000"/>
      </right>
      <top style="thick">
        <color rgb="FFC00000"/>
      </top>
      <bottom style="hair">
        <color theme="1"/>
      </bottom>
      <diagonal/>
    </border>
    <border>
      <left style="thick">
        <color rgb="FFC00000"/>
      </left>
      <right/>
      <top style="hair">
        <color theme="1"/>
      </top>
      <bottom style="thick">
        <color rgb="FFC00000"/>
      </bottom>
      <diagonal/>
    </border>
    <border>
      <left/>
      <right/>
      <top style="hair">
        <color theme="1"/>
      </top>
      <bottom style="thick">
        <color rgb="FFC00000"/>
      </bottom>
      <diagonal/>
    </border>
    <border>
      <left/>
      <right style="thick">
        <color rgb="FFC00000"/>
      </right>
      <top style="hair">
        <color theme="1"/>
      </top>
      <bottom style="thick">
        <color rgb="FFC00000"/>
      </bottom>
      <diagonal/>
    </border>
    <border>
      <left style="thick">
        <color rgb="FFC00000"/>
      </left>
      <right/>
      <top/>
      <bottom/>
      <diagonal/>
    </border>
    <border>
      <left style="thick">
        <color rgb="FFC00000"/>
      </left>
      <right/>
      <top/>
      <bottom style="medium">
        <color theme="1"/>
      </bottom>
      <diagonal/>
    </border>
    <border>
      <left style="thick">
        <color rgb="FFC00000"/>
      </left>
      <right/>
      <top style="thick">
        <color rgb="FFC00000"/>
      </top>
      <bottom style="hair">
        <color auto="1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381">
    <xf numFmtId="0" fontId="0" fillId="0" borderId="0" xfId="0"/>
    <xf numFmtId="0" fontId="7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2" fontId="7" fillId="0" borderId="0" xfId="0" applyNumberFormat="1" applyFont="1" applyBorder="1" applyAlignment="1" applyProtection="1">
      <alignment horizontal="center" vertical="center"/>
      <protection hidden="1"/>
    </xf>
    <xf numFmtId="2" fontId="22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9" fillId="0" borderId="4" xfId="0" applyFont="1" applyBorder="1" applyAlignment="1" applyProtection="1">
      <alignment vertical="center" wrapText="1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22" fillId="0" borderId="18" xfId="0" applyFont="1" applyBorder="1" applyAlignment="1" applyProtection="1">
      <alignment horizontal="center" vertical="center"/>
      <protection hidden="1"/>
    </xf>
    <xf numFmtId="165" fontId="22" fillId="0" borderId="19" xfId="0" applyNumberFormat="1" applyFont="1" applyBorder="1" applyAlignment="1" applyProtection="1">
      <alignment horizontal="center" vertical="center"/>
      <protection hidden="1"/>
    </xf>
    <xf numFmtId="0" fontId="22" fillId="0" borderId="21" xfId="0" applyFont="1" applyBorder="1" applyAlignment="1" applyProtection="1">
      <alignment horizontal="center" vertical="center"/>
      <protection hidden="1"/>
    </xf>
    <xf numFmtId="165" fontId="24" fillId="0" borderId="22" xfId="0" applyNumberFormat="1" applyFont="1" applyBorder="1" applyAlignment="1" applyProtection="1">
      <alignment horizontal="center" vertical="center"/>
      <protection hidden="1"/>
    </xf>
    <xf numFmtId="165" fontId="22" fillId="0" borderId="22" xfId="0" applyNumberFormat="1" applyFont="1" applyBorder="1" applyAlignment="1" applyProtection="1">
      <alignment horizontal="center" vertical="center"/>
      <protection hidden="1"/>
    </xf>
    <xf numFmtId="165" fontId="22" fillId="0" borderId="18" xfId="0" applyNumberFormat="1" applyFont="1" applyBorder="1" applyAlignment="1" applyProtection="1">
      <alignment horizontal="center" vertical="center"/>
      <protection hidden="1"/>
    </xf>
    <xf numFmtId="165" fontId="22" fillId="0" borderId="2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vertical="center"/>
      <protection hidden="1"/>
    </xf>
    <xf numFmtId="0" fontId="5" fillId="0" borderId="22" xfId="0" quotePrefix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hidden="1"/>
    </xf>
    <xf numFmtId="2" fontId="4" fillId="0" borderId="20" xfId="0" applyNumberFormat="1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35" xfId="0" quotePrefix="1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38" xfId="0" quotePrefix="1" applyFont="1" applyBorder="1" applyAlignment="1" applyProtection="1">
      <alignment horizontal="center" vertical="center"/>
      <protection hidden="1"/>
    </xf>
    <xf numFmtId="0" fontId="5" fillId="0" borderId="41" xfId="0" quotePrefix="1" applyFont="1" applyBorder="1" applyAlignment="1" applyProtection="1">
      <alignment horizontal="center" vertical="center"/>
      <protection hidden="1"/>
    </xf>
    <xf numFmtId="2" fontId="4" fillId="0" borderId="36" xfId="0" applyNumberFormat="1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vertic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horizontal="center" vertical="center"/>
      <protection hidden="1"/>
    </xf>
    <xf numFmtId="0" fontId="22" fillId="0" borderId="47" xfId="0" applyFont="1" applyBorder="1" applyAlignment="1" applyProtection="1">
      <alignment horizontal="left" vertical="center"/>
      <protection hidden="1"/>
    </xf>
    <xf numFmtId="0" fontId="22" fillId="0" borderId="48" xfId="0" applyFont="1" applyBorder="1" applyAlignment="1" applyProtection="1">
      <alignment vertical="center"/>
      <protection hidden="1"/>
    </xf>
    <xf numFmtId="0" fontId="22" fillId="0" borderId="48" xfId="0" applyFont="1" applyBorder="1" applyAlignment="1" applyProtection="1">
      <alignment horizontal="center" vertical="center"/>
      <protection hidden="1"/>
    </xf>
    <xf numFmtId="165" fontId="23" fillId="0" borderId="49" xfId="0" applyNumberFormat="1" applyFont="1" applyBorder="1" applyAlignment="1" applyProtection="1">
      <alignment horizontal="center" vertical="center"/>
      <protection hidden="1"/>
    </xf>
    <xf numFmtId="0" fontId="22" fillId="0" borderId="30" xfId="0" applyFont="1" applyBorder="1" applyAlignment="1" applyProtection="1">
      <alignment horizontal="center" vertical="center"/>
      <protection hidden="1"/>
    </xf>
    <xf numFmtId="0" fontId="7" fillId="0" borderId="30" xfId="0" applyFont="1" applyBorder="1" applyAlignment="1" applyProtection="1">
      <alignment horizontal="center" vertical="center"/>
      <protection hidden="1"/>
    </xf>
    <xf numFmtId="0" fontId="22" fillId="0" borderId="50" xfId="0" applyFont="1" applyBorder="1" applyAlignment="1" applyProtection="1">
      <alignment horizontal="center" vertical="center"/>
      <protection hidden="1"/>
    </xf>
    <xf numFmtId="2" fontId="22" fillId="0" borderId="31" xfId="0" applyNumberFormat="1" applyFont="1" applyBorder="1" applyAlignment="1" applyProtection="1">
      <alignment horizontal="center" vertical="center"/>
      <protection hidden="1"/>
    </xf>
    <xf numFmtId="165" fontId="22" fillId="0" borderId="33" xfId="0" applyNumberFormat="1" applyFont="1" applyBorder="1" applyAlignment="1" applyProtection="1">
      <alignment horizontal="center" vertical="center"/>
      <protection hidden="1"/>
    </xf>
    <xf numFmtId="165" fontId="22" fillId="0" borderId="35" xfId="0" applyNumberFormat="1" applyFont="1" applyBorder="1" applyAlignment="1" applyProtection="1">
      <alignment horizontal="center" vertical="center"/>
      <protection hidden="1"/>
    </xf>
    <xf numFmtId="0" fontId="22" fillId="0" borderId="40" xfId="0" applyFont="1" applyBorder="1" applyAlignment="1" applyProtection="1">
      <alignment horizontal="center" vertical="center"/>
      <protection hidden="1"/>
    </xf>
    <xf numFmtId="165" fontId="22" fillId="0" borderId="38" xfId="0" applyNumberFormat="1" applyFont="1" applyBorder="1" applyAlignment="1" applyProtection="1">
      <alignment horizontal="center" vertical="center"/>
      <protection hidden="1"/>
    </xf>
    <xf numFmtId="165" fontId="22" fillId="0" borderId="40" xfId="0" applyNumberFormat="1" applyFont="1" applyBorder="1" applyAlignment="1" applyProtection="1">
      <alignment horizontal="center" vertical="center"/>
      <protection hidden="1"/>
    </xf>
    <xf numFmtId="165" fontId="22" fillId="0" borderId="41" xfId="0" applyNumberFormat="1" applyFont="1" applyBorder="1" applyAlignment="1" applyProtection="1">
      <alignment horizontal="center" vertical="center"/>
      <protection hidden="1"/>
    </xf>
    <xf numFmtId="0" fontId="22" fillId="0" borderId="54" xfId="0" applyFont="1" applyBorder="1" applyAlignment="1" applyProtection="1">
      <alignment horizontal="center" vertical="center"/>
      <protection hidden="1"/>
    </xf>
    <xf numFmtId="165" fontId="22" fillId="0" borderId="55" xfId="0" applyNumberFormat="1" applyFont="1" applyBorder="1" applyAlignment="1" applyProtection="1">
      <alignment horizontal="center" vertical="center"/>
      <protection hidden="1"/>
    </xf>
    <xf numFmtId="165" fontId="22" fillId="0" borderId="54" xfId="0" applyNumberFormat="1" applyFont="1" applyBorder="1" applyAlignment="1" applyProtection="1">
      <alignment horizontal="center" vertical="center"/>
      <protection hidden="1"/>
    </xf>
    <xf numFmtId="165" fontId="22" fillId="0" borderId="57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166" fontId="26" fillId="0" borderId="0" xfId="0" applyNumberFormat="1" applyFont="1" applyBorder="1" applyAlignment="1" applyProtection="1">
      <alignment horizontal="center" vertical="center"/>
      <protection hidden="1"/>
    </xf>
    <xf numFmtId="0" fontId="4" fillId="0" borderId="59" xfId="0" applyFont="1" applyBorder="1" applyAlignment="1" applyProtection="1">
      <alignment horizontal="center" vertical="center" wrapText="1"/>
      <protection hidden="1"/>
    </xf>
    <xf numFmtId="0" fontId="4" fillId="0" borderId="59" xfId="0" applyFont="1" applyBorder="1" applyAlignment="1" applyProtection="1">
      <alignment horizontal="center" vertical="center"/>
      <protection hidden="1"/>
    </xf>
    <xf numFmtId="0" fontId="7" fillId="0" borderId="59" xfId="0" applyFont="1" applyBorder="1" applyAlignment="1" applyProtection="1">
      <alignment horizontal="center" vertical="center"/>
      <protection hidden="1"/>
    </xf>
    <xf numFmtId="166" fontId="4" fillId="0" borderId="60" xfId="0" applyNumberFormat="1" applyFont="1" applyBorder="1" applyAlignment="1" applyProtection="1">
      <alignment horizontal="center" vertical="center" wrapText="1"/>
      <protection hidden="1"/>
    </xf>
    <xf numFmtId="166" fontId="4" fillId="0" borderId="59" xfId="0" applyNumberFormat="1" applyFont="1" applyBorder="1" applyAlignment="1" applyProtection="1">
      <alignment horizontal="center" vertical="center"/>
      <protection hidden="1"/>
    </xf>
    <xf numFmtId="166" fontId="4" fillId="0" borderId="60" xfId="0" applyNumberFormat="1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center" vertical="center" wrapText="1"/>
      <protection hidden="1"/>
    </xf>
    <xf numFmtId="0" fontId="26" fillId="0" borderId="68" xfId="0" applyFont="1" applyBorder="1" applyAlignment="1" applyProtection="1">
      <alignment horizontal="center" vertical="center" wrapText="1"/>
      <protection hidden="1"/>
    </xf>
    <xf numFmtId="166" fontId="26" fillId="0" borderId="68" xfId="0" applyNumberFormat="1" applyFont="1" applyBorder="1" applyAlignment="1" applyProtection="1">
      <alignment horizontal="center" vertical="center"/>
      <protection hidden="1"/>
    </xf>
    <xf numFmtId="166" fontId="26" fillId="0" borderId="69" xfId="0" applyNumberFormat="1" applyFont="1" applyBorder="1" applyAlignment="1" applyProtection="1">
      <alignment horizontal="center" vertical="center"/>
      <protection hidden="1"/>
    </xf>
    <xf numFmtId="0" fontId="4" fillId="0" borderId="70" xfId="0" applyFont="1" applyBorder="1" applyAlignment="1" applyProtection="1">
      <alignment horizontal="center" vertical="center"/>
      <protection hidden="1"/>
    </xf>
    <xf numFmtId="0" fontId="4" fillId="0" borderId="73" xfId="0" applyFont="1" applyBorder="1" applyAlignment="1" applyProtection="1">
      <alignment horizontal="center" vertical="center"/>
      <protection hidden="1"/>
    </xf>
    <xf numFmtId="0" fontId="26" fillId="0" borderId="76" xfId="0" applyFont="1" applyBorder="1" applyAlignment="1" applyProtection="1">
      <alignment horizontal="center" vertical="center" wrapText="1"/>
      <protection hidden="1"/>
    </xf>
    <xf numFmtId="0" fontId="4" fillId="0" borderId="78" xfId="0" applyFont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79" xfId="0" applyFont="1" applyBorder="1" applyAlignment="1" applyProtection="1">
      <alignment horizontal="center" vertical="center" wrapText="1"/>
      <protection hidden="1"/>
    </xf>
    <xf numFmtId="0" fontId="4" fillId="0" borderId="80" xfId="0" applyFont="1" applyBorder="1" applyAlignment="1" applyProtection="1">
      <alignment horizontal="center" vertical="center" wrapText="1"/>
      <protection hidden="1"/>
    </xf>
    <xf numFmtId="0" fontId="4" fillId="0" borderId="58" xfId="0" applyFont="1" applyBorder="1" applyAlignment="1" applyProtection="1">
      <alignment vertical="center"/>
      <protection hidden="1"/>
    </xf>
    <xf numFmtId="0" fontId="4" fillId="0" borderId="59" xfId="0" applyFont="1" applyBorder="1" applyAlignment="1" applyProtection="1">
      <alignment vertical="center"/>
      <protection hidden="1"/>
    </xf>
    <xf numFmtId="0" fontId="4" fillId="0" borderId="29" xfId="0" applyFont="1" applyBorder="1" applyAlignment="1" applyProtection="1">
      <alignment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 wrapText="1"/>
      <protection hidden="1"/>
    </xf>
    <xf numFmtId="0" fontId="4" fillId="0" borderId="31" xfId="0" applyFont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 applyProtection="1">
      <alignment vertical="center"/>
      <protection hidden="1"/>
    </xf>
    <xf numFmtId="0" fontId="4" fillId="0" borderId="28" xfId="0" applyFont="1" applyBorder="1" applyAlignment="1" applyProtection="1">
      <alignment vertical="center"/>
      <protection hidden="1"/>
    </xf>
    <xf numFmtId="166" fontId="4" fillId="0" borderId="45" xfId="0" applyNumberFormat="1" applyFont="1" applyBorder="1" applyAlignment="1" applyProtection="1">
      <alignment vertical="center"/>
      <protection hidden="1"/>
    </xf>
    <xf numFmtId="0" fontId="7" fillId="0" borderId="28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vertical="center"/>
      <protection hidden="1"/>
    </xf>
    <xf numFmtId="0" fontId="4" fillId="0" borderId="21" xfId="0" applyFont="1" applyBorder="1" applyAlignment="1" applyProtection="1">
      <alignment vertical="center"/>
      <protection hidden="1"/>
    </xf>
    <xf numFmtId="166" fontId="4" fillId="0" borderId="21" xfId="0" applyNumberFormat="1" applyFont="1" applyBorder="1" applyAlignment="1" applyProtection="1">
      <alignment horizontal="center" vertical="center"/>
      <protection hidden="1"/>
    </xf>
    <xf numFmtId="166" fontId="4" fillId="0" borderId="35" xfId="0" applyNumberFormat="1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vertical="center"/>
      <protection hidden="1"/>
    </xf>
    <xf numFmtId="0" fontId="4" fillId="0" borderId="40" xfId="0" applyFont="1" applyBorder="1" applyAlignment="1" applyProtection="1">
      <alignment vertical="center"/>
      <protection hidden="1"/>
    </xf>
    <xf numFmtId="166" fontId="4" fillId="0" borderId="40" xfId="0" applyNumberFormat="1" applyFont="1" applyBorder="1" applyAlignment="1" applyProtection="1">
      <alignment horizontal="center" vertical="center"/>
      <protection hidden="1"/>
    </xf>
    <xf numFmtId="166" fontId="4" fillId="0" borderId="41" xfId="0" applyNumberFormat="1" applyFont="1" applyBorder="1" applyAlignment="1" applyProtection="1">
      <alignment horizontal="center" vertical="center"/>
      <protection hidden="1"/>
    </xf>
    <xf numFmtId="166" fontId="7" fillId="0" borderId="21" xfId="0" applyNumberFormat="1" applyFont="1" applyBorder="1" applyAlignment="1" applyProtection="1">
      <alignment horizontal="center" vertical="center"/>
      <protection hidden="1"/>
    </xf>
    <xf numFmtId="166" fontId="7" fillId="0" borderId="35" xfId="0" applyNumberFormat="1" applyFont="1" applyBorder="1" applyAlignment="1" applyProtection="1">
      <alignment horizontal="center" vertical="center"/>
      <protection hidden="1"/>
    </xf>
    <xf numFmtId="166" fontId="7" fillId="0" borderId="40" xfId="0" applyNumberFormat="1" applyFont="1" applyBorder="1" applyAlignment="1" applyProtection="1">
      <alignment horizontal="center" vertical="center"/>
      <protection hidden="1"/>
    </xf>
    <xf numFmtId="166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45" xfId="0" applyFont="1" applyBorder="1" applyAlignment="1" applyProtection="1">
      <alignment horizontal="center" vertical="center"/>
      <protection hidden="1"/>
    </xf>
    <xf numFmtId="0" fontId="4" fillId="0" borderId="72" xfId="0" applyFont="1" applyBorder="1" applyAlignment="1" applyProtection="1">
      <alignment vertical="center"/>
      <protection hidden="1"/>
    </xf>
    <xf numFmtId="0" fontId="4" fillId="0" borderId="73" xfId="0" applyFont="1" applyBorder="1" applyAlignment="1" applyProtection="1">
      <alignment vertical="center"/>
      <protection hidden="1"/>
    </xf>
    <xf numFmtId="0" fontId="7" fillId="0" borderId="73" xfId="0" applyFont="1" applyBorder="1" applyAlignment="1" applyProtection="1">
      <alignment horizontal="center" vertical="center"/>
      <protection hidden="1"/>
    </xf>
    <xf numFmtId="0" fontId="7" fillId="0" borderId="74" xfId="0" applyFont="1" applyBorder="1" applyAlignment="1" applyProtection="1">
      <alignment horizontal="center" vertical="center"/>
      <protection hidden="1"/>
    </xf>
    <xf numFmtId="0" fontId="7" fillId="0" borderId="60" xfId="0" applyFont="1" applyBorder="1" applyAlignment="1" applyProtection="1">
      <alignment horizontal="center" vertical="center"/>
      <protection hidden="1"/>
    </xf>
    <xf numFmtId="0" fontId="4" fillId="0" borderId="75" xfId="0" applyFont="1" applyBorder="1" applyAlignment="1" applyProtection="1">
      <alignment vertical="center"/>
      <protection hidden="1"/>
    </xf>
    <xf numFmtId="0" fontId="4" fillId="0" borderId="76" xfId="0" applyFont="1" applyBorder="1" applyAlignment="1" applyProtection="1">
      <alignment vertical="center"/>
      <protection hidden="1"/>
    </xf>
    <xf numFmtId="0" fontId="4" fillId="0" borderId="76" xfId="0" applyFont="1" applyBorder="1" applyAlignment="1" applyProtection="1">
      <alignment horizontal="center" vertical="center"/>
      <protection hidden="1"/>
    </xf>
    <xf numFmtId="166" fontId="4" fillId="0" borderId="76" xfId="0" applyNumberFormat="1" applyFont="1" applyBorder="1" applyAlignment="1" applyProtection="1">
      <alignment horizontal="center" vertical="center"/>
      <protection hidden="1"/>
    </xf>
    <xf numFmtId="166" fontId="4" fillId="0" borderId="77" xfId="0" applyNumberFormat="1" applyFont="1" applyBorder="1" applyAlignment="1" applyProtection="1">
      <alignment horizontal="center" vertical="center"/>
      <protection hidden="1"/>
    </xf>
    <xf numFmtId="166" fontId="7" fillId="0" borderId="76" xfId="0" applyNumberFormat="1" applyFont="1" applyBorder="1" applyAlignment="1" applyProtection="1">
      <alignment horizontal="center" vertical="center"/>
      <protection hidden="1"/>
    </xf>
    <xf numFmtId="166" fontId="7" fillId="0" borderId="77" xfId="0" applyNumberFormat="1" applyFont="1" applyBorder="1" applyAlignment="1" applyProtection="1">
      <alignment horizontal="center" vertical="center"/>
      <protection hidden="1"/>
    </xf>
    <xf numFmtId="166" fontId="26" fillId="4" borderId="62" xfId="0" applyNumberFormat="1" applyFont="1" applyFill="1" applyBorder="1" applyAlignment="1" applyProtection="1">
      <alignment horizontal="center" vertical="center"/>
      <protection hidden="1"/>
    </xf>
    <xf numFmtId="166" fontId="26" fillId="4" borderId="63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left" vertical="center"/>
      <protection hidden="1"/>
    </xf>
    <xf numFmtId="166" fontId="4" fillId="0" borderId="74" xfId="0" applyNumberFormat="1" applyFont="1" applyBorder="1" applyAlignment="1" applyProtection="1">
      <alignment horizontal="center" vertical="center"/>
      <protection hidden="1"/>
    </xf>
    <xf numFmtId="166" fontId="4" fillId="0" borderId="74" xfId="0" applyNumberFormat="1" applyFont="1" applyBorder="1" applyAlignment="1" applyProtection="1">
      <alignment horizontal="right" vertical="center"/>
      <protection hidden="1"/>
    </xf>
    <xf numFmtId="0" fontId="3" fillId="0" borderId="81" xfId="0" applyFont="1" applyBorder="1" applyAlignment="1" applyProtection="1">
      <alignment horizontal="left" vertical="center"/>
      <protection hidden="1"/>
    </xf>
    <xf numFmtId="0" fontId="3" fillId="0" borderId="82" xfId="0" applyFont="1" applyBorder="1" applyAlignment="1" applyProtection="1">
      <alignment horizontal="center" vertical="center"/>
      <protection hidden="1"/>
    </xf>
    <xf numFmtId="0" fontId="3" fillId="0" borderId="83" xfId="0" applyFont="1" applyBorder="1" applyAlignment="1" applyProtection="1">
      <alignment horizontal="left" vertical="center"/>
      <protection hidden="1"/>
    </xf>
    <xf numFmtId="0" fontId="3" fillId="0" borderId="85" xfId="0" applyFont="1" applyBorder="1" applyAlignment="1" applyProtection="1">
      <alignment horizontal="left" vertical="center"/>
      <protection hidden="1"/>
    </xf>
    <xf numFmtId="0" fontId="3" fillId="0" borderId="86" xfId="0" applyFont="1" applyBorder="1" applyAlignment="1" applyProtection="1">
      <alignment horizontal="left" vertical="center"/>
      <protection hidden="1"/>
    </xf>
    <xf numFmtId="0" fontId="3" fillId="0" borderId="85" xfId="0" applyFont="1" applyBorder="1" applyAlignment="1" applyProtection="1">
      <alignment horizontal="center" vertical="center"/>
      <protection hidden="1"/>
    </xf>
    <xf numFmtId="0" fontId="16" fillId="0" borderId="21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26" fillId="0" borderId="40" xfId="0" applyFont="1" applyBorder="1" applyAlignment="1" applyProtection="1">
      <alignment horizontal="center" vertical="center"/>
      <protection hidden="1"/>
    </xf>
    <xf numFmtId="0" fontId="4" fillId="0" borderId="54" xfId="0" applyFont="1" applyBorder="1" applyAlignment="1" applyProtection="1">
      <alignment horizontal="center" vertical="center" wrapText="1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7" fillId="0" borderId="36" xfId="0" applyFont="1" applyBorder="1" applyAlignment="1" applyProtection="1">
      <alignment horizontal="center" vertical="center"/>
      <protection hidden="1"/>
    </xf>
    <xf numFmtId="0" fontId="14" fillId="0" borderId="36" xfId="0" applyFont="1" applyBorder="1" applyAlignment="1" applyProtection="1">
      <alignment vertic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vertical="center"/>
      <protection hidden="1"/>
    </xf>
    <xf numFmtId="0" fontId="11" fillId="0" borderId="89" xfId="0" applyFont="1" applyBorder="1" applyAlignment="1" applyProtection="1">
      <alignment vertical="center"/>
      <protection hidden="1"/>
    </xf>
    <xf numFmtId="0" fontId="11" fillId="0" borderId="54" xfId="0" applyFont="1" applyBorder="1" applyAlignment="1" applyProtection="1">
      <alignment vertical="center"/>
      <protection hidden="1"/>
    </xf>
    <xf numFmtId="0" fontId="11" fillId="0" borderId="57" xfId="0" applyFont="1" applyBorder="1" applyAlignment="1" applyProtection="1">
      <alignment vertical="center"/>
      <protection hidden="1"/>
    </xf>
    <xf numFmtId="0" fontId="11" fillId="0" borderId="36" xfId="0" applyFont="1" applyBorder="1" applyAlignment="1" applyProtection="1">
      <alignment vertical="center"/>
      <protection hidden="1"/>
    </xf>
    <xf numFmtId="166" fontId="11" fillId="0" borderId="21" xfId="0" applyNumberFormat="1" applyFont="1" applyBorder="1" applyAlignment="1" applyProtection="1">
      <alignment vertical="center"/>
      <protection hidden="1"/>
    </xf>
    <xf numFmtId="166" fontId="11" fillId="0" borderId="35" xfId="0" applyNumberFormat="1" applyFont="1" applyBorder="1" applyAlignment="1" applyProtection="1">
      <alignment vertical="center"/>
      <protection hidden="1"/>
    </xf>
    <xf numFmtId="0" fontId="11" fillId="0" borderId="35" xfId="0" applyFont="1" applyBorder="1" applyAlignment="1" applyProtection="1">
      <alignment vertical="center"/>
      <protection hidden="1"/>
    </xf>
    <xf numFmtId="0" fontId="14" fillId="0" borderId="37" xfId="0" applyFont="1" applyBorder="1" applyAlignment="1" applyProtection="1">
      <alignment vertical="center"/>
      <protection hidden="1"/>
    </xf>
    <xf numFmtId="0" fontId="14" fillId="0" borderId="40" xfId="0" applyFont="1" applyBorder="1" applyAlignment="1" applyProtection="1">
      <alignment vertical="center"/>
      <protection hidden="1"/>
    </xf>
    <xf numFmtId="166" fontId="14" fillId="0" borderId="40" xfId="0" applyNumberFormat="1" applyFont="1" applyBorder="1" applyAlignment="1" applyProtection="1">
      <alignment vertical="center"/>
      <protection hidden="1"/>
    </xf>
    <xf numFmtId="166" fontId="14" fillId="0" borderId="41" xfId="0" applyNumberFormat="1" applyFont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13" fillId="0" borderId="2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vertical="center"/>
      <protection hidden="1"/>
    </xf>
    <xf numFmtId="0" fontId="14" fillId="0" borderId="21" xfId="0" applyFont="1" applyBorder="1" applyAlignment="1" applyProtection="1">
      <alignment vertical="center"/>
      <protection hidden="1"/>
    </xf>
    <xf numFmtId="0" fontId="7" fillId="0" borderId="21" xfId="0" applyFont="1" applyBorder="1" applyAlignment="1" applyProtection="1">
      <alignment vertical="center"/>
      <protection hidden="1"/>
    </xf>
    <xf numFmtId="166" fontId="7" fillId="0" borderId="21" xfId="0" applyNumberFormat="1" applyFont="1" applyBorder="1" applyAlignment="1" applyProtection="1">
      <alignment vertical="center"/>
      <protection hidden="1"/>
    </xf>
    <xf numFmtId="166" fontId="7" fillId="0" borderId="35" xfId="0" applyNumberFormat="1" applyFont="1" applyBorder="1" applyAlignment="1" applyProtection="1">
      <alignment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left" vertical="center" indent="1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9" xfId="0" applyFont="1" applyBorder="1" applyAlignment="1" applyProtection="1">
      <alignment horizontal="center" vertical="center"/>
      <protection hidden="1"/>
    </xf>
    <xf numFmtId="0" fontId="12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12" fillId="0" borderId="16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166" fontId="4" fillId="0" borderId="0" xfId="0" applyNumberFormat="1" applyFont="1" applyBorder="1" applyAlignment="1" applyProtection="1">
      <alignment horizontal="center" vertical="center"/>
      <protection hidden="1"/>
    </xf>
    <xf numFmtId="166" fontId="4" fillId="0" borderId="13" xfId="0" applyNumberFormat="1" applyFont="1" applyBorder="1" applyAlignment="1" applyProtection="1">
      <alignment horizontal="center" vertical="center"/>
      <protection hidden="1"/>
    </xf>
    <xf numFmtId="166" fontId="4" fillId="0" borderId="3" xfId="0" applyNumberFormat="1" applyFont="1" applyBorder="1" applyAlignment="1" applyProtection="1">
      <alignment horizontal="center" vertical="center"/>
      <protection hidden="1"/>
    </xf>
    <xf numFmtId="166" fontId="4" fillId="0" borderId="8" xfId="0" applyNumberFormat="1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 indent="1"/>
      <protection hidden="1"/>
    </xf>
    <xf numFmtId="0" fontId="10" fillId="0" borderId="0" xfId="0" applyFont="1" applyBorder="1" applyAlignment="1" applyProtection="1">
      <alignment horizontal="left" vertical="center" indent="1"/>
      <protection hidden="1"/>
    </xf>
    <xf numFmtId="0" fontId="7" fillId="0" borderId="5" xfId="0" applyFont="1" applyBorder="1" applyAlignment="1" applyProtection="1">
      <alignment horizontal="left" vertical="center" indent="1"/>
      <protection hidden="1"/>
    </xf>
    <xf numFmtId="0" fontId="7" fillId="0" borderId="6" xfId="0" applyFont="1" applyBorder="1" applyAlignment="1" applyProtection="1">
      <alignment horizontal="left" vertical="center" indent="1"/>
      <protection hidden="1"/>
    </xf>
    <xf numFmtId="0" fontId="7" fillId="0" borderId="7" xfId="0" applyFont="1" applyBorder="1" applyAlignment="1" applyProtection="1">
      <alignment horizontal="left" vertical="center" indent="1"/>
      <protection hidden="1"/>
    </xf>
    <xf numFmtId="0" fontId="11" fillId="5" borderId="5" xfId="0" applyFont="1" applyFill="1" applyBorder="1" applyAlignment="1" applyProtection="1">
      <alignment horizontal="left" vertical="center" indent="1"/>
      <protection hidden="1"/>
    </xf>
    <xf numFmtId="0" fontId="11" fillId="5" borderId="6" xfId="0" applyFont="1" applyFill="1" applyBorder="1" applyAlignment="1" applyProtection="1">
      <alignment horizontal="left" vertical="center" indent="1"/>
      <protection hidden="1"/>
    </xf>
    <xf numFmtId="0" fontId="28" fillId="5" borderId="6" xfId="1" applyFont="1" applyFill="1" applyBorder="1" applyAlignment="1" applyProtection="1">
      <alignment horizontal="center" vertical="center"/>
      <protection hidden="1"/>
    </xf>
    <xf numFmtId="0" fontId="11" fillId="5" borderId="6" xfId="0" applyFont="1" applyFill="1" applyBorder="1" applyAlignment="1" applyProtection="1">
      <alignment horizontal="center" vertical="center"/>
      <protection hidden="1"/>
    </xf>
    <xf numFmtId="0" fontId="11" fillId="5" borderId="7" xfId="0" applyFont="1" applyFill="1" applyBorder="1" applyAlignment="1" applyProtection="1">
      <alignment horizontal="center" vertical="center"/>
      <protection hidden="1"/>
    </xf>
    <xf numFmtId="0" fontId="27" fillId="0" borderId="3" xfId="0" applyFont="1" applyBorder="1" applyAlignment="1" applyProtection="1">
      <alignment horizontal="left" vertical="center" indent="1"/>
      <protection hidden="1"/>
    </xf>
    <xf numFmtId="0" fontId="7" fillId="0" borderId="5" xfId="0" applyFont="1" applyBorder="1" applyAlignment="1" applyProtection="1">
      <alignment horizontal="left" vertical="center" wrapText="1" indent="1"/>
      <protection hidden="1"/>
    </xf>
    <xf numFmtId="0" fontId="7" fillId="0" borderId="6" xfId="0" applyFont="1" applyBorder="1" applyAlignment="1" applyProtection="1">
      <alignment horizontal="left" vertical="center" wrapText="1" indent="1"/>
      <protection hidden="1"/>
    </xf>
    <xf numFmtId="0" fontId="7" fillId="0" borderId="7" xfId="0" applyFont="1" applyBorder="1" applyAlignment="1" applyProtection="1">
      <alignment horizontal="left" vertical="center" wrapText="1" indent="1"/>
      <protection hidden="1"/>
    </xf>
    <xf numFmtId="0" fontId="7" fillId="3" borderId="3" xfId="0" applyFont="1" applyFill="1" applyBorder="1" applyAlignment="1" applyProtection="1">
      <alignment horizontal="left" vertical="center" indent="1"/>
      <protection locked="0" hidden="1"/>
    </xf>
    <xf numFmtId="166" fontId="11" fillId="0" borderId="21" xfId="0" applyNumberFormat="1" applyFont="1" applyBorder="1" applyAlignment="1" applyProtection="1">
      <alignment horizontal="center" vertical="center"/>
      <protection hidden="1"/>
    </xf>
    <xf numFmtId="166" fontId="11" fillId="0" borderId="35" xfId="0" applyNumberFormat="1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14" fillId="4" borderId="61" xfId="0" applyFont="1" applyFill="1" applyBorder="1" applyAlignment="1" applyProtection="1">
      <alignment horizontal="center" vertical="center" wrapText="1"/>
      <protection hidden="1"/>
    </xf>
    <xf numFmtId="0" fontId="14" fillId="4" borderId="62" xfId="0" applyFont="1" applyFill="1" applyBorder="1" applyAlignment="1" applyProtection="1">
      <alignment horizontal="center" vertical="center" wrapText="1"/>
      <protection hidden="1"/>
    </xf>
    <xf numFmtId="0" fontId="14" fillId="4" borderId="63" xfId="0" applyFont="1" applyFill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35" xfId="0" applyFont="1" applyBorder="1" applyAlignment="1" applyProtection="1">
      <alignment horizontal="center" vertical="center"/>
      <protection hidden="1"/>
    </xf>
    <xf numFmtId="0" fontId="3" fillId="0" borderId="21" xfId="0" applyNumberFormat="1" applyFont="1" applyBorder="1" applyAlignment="1" applyProtection="1">
      <alignment horizontal="center" vertical="center"/>
      <protection hidden="1"/>
    </xf>
    <xf numFmtId="0" fontId="3" fillId="0" borderId="35" xfId="0" applyNumberFormat="1" applyFont="1" applyBorder="1" applyAlignment="1" applyProtection="1">
      <alignment horizontal="center" vertical="center"/>
      <protection hidden="1"/>
    </xf>
    <xf numFmtId="166" fontId="3" fillId="0" borderId="21" xfId="0" applyNumberFormat="1" applyFont="1" applyBorder="1" applyAlignment="1" applyProtection="1">
      <alignment horizontal="center" vertical="center"/>
      <protection hidden="1"/>
    </xf>
    <xf numFmtId="166" fontId="3" fillId="0" borderId="35" xfId="0" applyNumberFormat="1" applyFont="1" applyBorder="1" applyAlignment="1" applyProtection="1">
      <alignment horizontal="center" vertical="center"/>
      <protection hidden="1"/>
    </xf>
    <xf numFmtId="166" fontId="26" fillId="0" borderId="40" xfId="0" applyNumberFormat="1" applyFont="1" applyBorder="1" applyAlignment="1" applyProtection="1">
      <alignment horizontal="center" vertical="center"/>
      <protection hidden="1"/>
    </xf>
    <xf numFmtId="166" fontId="26" fillId="0" borderId="41" xfId="0" applyNumberFormat="1" applyFont="1" applyBorder="1" applyAlignment="1" applyProtection="1">
      <alignment horizontal="center" vertical="center"/>
      <protection hidden="1"/>
    </xf>
    <xf numFmtId="0" fontId="26" fillId="0" borderId="89" xfId="0" applyFont="1" applyBorder="1" applyAlignment="1" applyProtection="1">
      <alignment horizontal="center" vertical="center"/>
      <protection hidden="1"/>
    </xf>
    <xf numFmtId="0" fontId="26" fillId="0" borderId="36" xfId="0" applyFont="1" applyBorder="1" applyAlignment="1" applyProtection="1">
      <alignment horizontal="center" vertical="center"/>
      <protection hidden="1"/>
    </xf>
    <xf numFmtId="0" fontId="26" fillId="0" borderId="32" xfId="0" applyFont="1" applyBorder="1" applyAlignment="1" applyProtection="1">
      <alignment horizontal="center" vertical="center" wrapText="1"/>
      <protection hidden="1"/>
    </xf>
    <xf numFmtId="0" fontId="26" fillId="0" borderId="87" xfId="0" applyFont="1" applyBorder="1" applyAlignment="1" applyProtection="1">
      <alignment horizontal="center" vertical="center" wrapText="1"/>
      <protection hidden="1"/>
    </xf>
    <xf numFmtId="0" fontId="26" fillId="0" borderId="88" xfId="0" applyFont="1" applyBorder="1" applyAlignment="1" applyProtection="1">
      <alignment horizontal="center" vertical="center" wrapText="1"/>
      <protection hidden="1"/>
    </xf>
    <xf numFmtId="166" fontId="3" fillId="0" borderId="54" xfId="0" applyNumberFormat="1" applyFont="1" applyBorder="1" applyAlignment="1" applyProtection="1">
      <alignment horizontal="center" vertical="center"/>
      <protection hidden="1"/>
    </xf>
    <xf numFmtId="166" fontId="3" fillId="0" borderId="57" xfId="0" applyNumberFormat="1" applyFont="1" applyBorder="1" applyAlignment="1" applyProtection="1">
      <alignment horizontal="center" vertical="center"/>
      <protection hidden="1"/>
    </xf>
    <xf numFmtId="0" fontId="16" fillId="0" borderId="21" xfId="0" applyFont="1" applyBorder="1" applyAlignment="1" applyProtection="1">
      <alignment horizontal="center" vertical="center"/>
      <protection hidden="1"/>
    </xf>
    <xf numFmtId="0" fontId="16" fillId="0" borderId="35" xfId="0" applyFont="1" applyBorder="1" applyAlignment="1" applyProtection="1">
      <alignment horizontal="center" vertical="center"/>
      <protection hidden="1"/>
    </xf>
    <xf numFmtId="0" fontId="22" fillId="0" borderId="56" xfId="0" applyFont="1" applyBorder="1" applyAlignment="1" applyProtection="1">
      <alignment horizontal="center" vertical="center"/>
      <protection hidden="1"/>
    </xf>
    <xf numFmtId="0" fontId="22" fillId="0" borderId="20" xfId="0" applyFont="1" applyBorder="1" applyAlignment="1" applyProtection="1">
      <alignment horizontal="center" vertical="center"/>
      <protection hidden="1"/>
    </xf>
    <xf numFmtId="0" fontId="22" fillId="0" borderId="39" xfId="0" applyFont="1" applyBorder="1" applyAlignment="1" applyProtection="1">
      <alignment horizontal="center" vertical="center"/>
      <protection hidden="1"/>
    </xf>
    <xf numFmtId="0" fontId="22" fillId="0" borderId="56" xfId="0" applyFont="1" applyBorder="1" applyAlignment="1" applyProtection="1">
      <alignment horizontal="center" vertical="center" wrapText="1"/>
      <protection hidden="1"/>
    </xf>
    <xf numFmtId="0" fontId="22" fillId="0" borderId="20" xfId="0" applyFont="1" applyBorder="1" applyAlignment="1" applyProtection="1">
      <alignment horizontal="center" vertical="center" wrapText="1"/>
      <protection hidden="1"/>
    </xf>
    <xf numFmtId="0" fontId="22" fillId="0" borderId="39" xfId="0" applyFont="1" applyBorder="1" applyAlignment="1" applyProtection="1">
      <alignment horizontal="center" vertical="center" wrapText="1"/>
      <protection hidden="1"/>
    </xf>
    <xf numFmtId="0" fontId="22" fillId="0" borderId="23" xfId="0" applyFont="1" applyBorder="1" applyAlignment="1" applyProtection="1">
      <alignment horizontal="center" vertical="center" wrapText="1"/>
      <protection hidden="1"/>
    </xf>
    <xf numFmtId="0" fontId="22" fillId="0" borderId="24" xfId="0" applyFont="1" applyBorder="1" applyAlignment="1" applyProtection="1">
      <alignment horizontal="center" vertical="center" wrapText="1"/>
      <protection hidden="1"/>
    </xf>
    <xf numFmtId="0" fontId="22" fillId="0" borderId="53" xfId="0" applyFont="1" applyBorder="1" applyAlignment="1" applyProtection="1">
      <alignment horizontal="center" vertical="center" wrapText="1"/>
      <protection hidden="1"/>
    </xf>
    <xf numFmtId="0" fontId="22" fillId="0" borderId="17" xfId="0" applyFont="1" applyBorder="1" applyAlignment="1" applyProtection="1">
      <alignment horizontal="center" vertical="center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166" fontId="26" fillId="0" borderId="76" xfId="0" applyNumberFormat="1" applyFont="1" applyBorder="1" applyAlignment="1" applyProtection="1">
      <alignment horizontal="center" vertical="center" wrapText="1"/>
      <protection hidden="1"/>
    </xf>
    <xf numFmtId="166" fontId="26" fillId="0" borderId="77" xfId="0" applyNumberFormat="1" applyFont="1" applyBorder="1" applyAlignment="1" applyProtection="1">
      <alignment horizontal="center" vertical="center" wrapText="1"/>
      <protection hidden="1"/>
    </xf>
    <xf numFmtId="166" fontId="4" fillId="0" borderId="59" xfId="0" applyNumberFormat="1" applyFont="1" applyBorder="1" applyAlignment="1" applyProtection="1">
      <alignment horizontal="center" vertical="center"/>
      <protection hidden="1"/>
    </xf>
    <xf numFmtId="166" fontId="4" fillId="0" borderId="60" xfId="0" applyNumberFormat="1" applyFont="1" applyBorder="1" applyAlignment="1" applyProtection="1">
      <alignment horizontal="center" vertical="center"/>
      <protection hidden="1"/>
    </xf>
    <xf numFmtId="0" fontId="26" fillId="0" borderId="64" xfId="0" applyFont="1" applyBorder="1" applyAlignment="1" applyProtection="1">
      <alignment horizontal="center" vertical="center" wrapText="1"/>
      <protection hidden="1"/>
    </xf>
    <xf numFmtId="0" fontId="26" fillId="0" borderId="58" xfId="0" applyFont="1" applyBorder="1" applyAlignment="1" applyProtection="1">
      <alignment horizontal="center" vertical="center" wrapText="1"/>
      <protection hidden="1"/>
    </xf>
    <xf numFmtId="0" fontId="26" fillId="0" borderId="67" xfId="0" applyFont="1" applyBorder="1" applyAlignment="1" applyProtection="1">
      <alignment horizontal="center" vertical="center" wrapText="1"/>
      <protection hidden="1"/>
    </xf>
    <xf numFmtId="0" fontId="14" fillId="4" borderId="61" xfId="0" applyFont="1" applyFill="1" applyBorder="1" applyAlignment="1" applyProtection="1">
      <alignment horizontal="center" vertical="center"/>
      <protection hidden="1"/>
    </xf>
    <xf numFmtId="0" fontId="14" fillId="4" borderId="62" xfId="0" applyFont="1" applyFill="1" applyBorder="1" applyAlignment="1" applyProtection="1">
      <alignment horizontal="center" vertical="center"/>
      <protection hidden="1"/>
    </xf>
    <xf numFmtId="0" fontId="14" fillId="4" borderId="63" xfId="0" applyFont="1" applyFill="1" applyBorder="1" applyAlignment="1" applyProtection="1">
      <alignment horizontal="center" vertical="center"/>
      <protection hidden="1"/>
    </xf>
    <xf numFmtId="0" fontId="23" fillId="0" borderId="46" xfId="0" quotePrefix="1" applyFont="1" applyBorder="1" applyAlignment="1" applyProtection="1">
      <alignment horizontal="center" vertical="center"/>
      <protection hidden="1"/>
    </xf>
    <xf numFmtId="0" fontId="23" fillId="0" borderId="51" xfId="0" quotePrefix="1" applyFont="1" applyBorder="1" applyAlignment="1" applyProtection="1">
      <alignment horizontal="center" vertical="center"/>
      <protection hidden="1"/>
    </xf>
    <xf numFmtId="0" fontId="23" fillId="0" borderId="52" xfId="0" quotePrefix="1" applyFont="1" applyBorder="1" applyAlignment="1" applyProtection="1">
      <alignment horizontal="center" vertical="center"/>
      <protection hidden="1"/>
    </xf>
    <xf numFmtId="166" fontId="4" fillId="0" borderId="65" xfId="0" applyNumberFormat="1" applyFont="1" applyBorder="1" applyAlignment="1" applyProtection="1">
      <alignment horizontal="center" vertical="center"/>
      <protection hidden="1"/>
    </xf>
    <xf numFmtId="166" fontId="4" fillId="0" borderId="66" xfId="0" applyNumberFormat="1" applyFont="1" applyBorder="1" applyAlignment="1" applyProtection="1">
      <alignment horizontal="center" vertical="center"/>
      <protection hidden="1"/>
    </xf>
    <xf numFmtId="0" fontId="23" fillId="0" borderId="46" xfId="0" applyFont="1" applyBorder="1" applyAlignment="1" applyProtection="1">
      <alignment horizontal="center" vertical="center"/>
      <protection hidden="1"/>
    </xf>
    <xf numFmtId="0" fontId="23" fillId="0" borderId="51" xfId="0" applyFont="1" applyBorder="1" applyAlignment="1" applyProtection="1">
      <alignment horizontal="center" vertical="center"/>
      <protection hidden="1"/>
    </xf>
    <xf numFmtId="0" fontId="23" fillId="0" borderId="52" xfId="0" applyFont="1" applyBorder="1" applyAlignment="1" applyProtection="1">
      <alignment horizontal="center" vertical="center"/>
      <protection hidden="1"/>
    </xf>
    <xf numFmtId="0" fontId="22" fillId="0" borderId="50" xfId="0" applyFont="1" applyBorder="1" applyAlignment="1" applyProtection="1">
      <alignment horizontal="center" vertical="center" wrapText="1"/>
      <protection hidden="1"/>
    </xf>
    <xf numFmtId="0" fontId="3" fillId="0" borderId="84" xfId="0" applyFont="1" applyBorder="1" applyAlignment="1" applyProtection="1">
      <alignment horizontal="left" vertical="center" wrapText="1"/>
      <protection hidden="1"/>
    </xf>
    <xf numFmtId="0" fontId="3" fillId="0" borderId="85" xfId="0" applyFont="1" applyBorder="1" applyAlignment="1" applyProtection="1">
      <alignment horizontal="left" vertical="center" wrapText="1"/>
      <protection hidden="1"/>
    </xf>
    <xf numFmtId="2" fontId="16" fillId="0" borderId="5" xfId="0" applyNumberFormat="1" applyFont="1" applyBorder="1" applyAlignment="1" applyProtection="1">
      <alignment horizontal="left" vertical="center" wrapText="1" indent="1"/>
      <protection hidden="1"/>
    </xf>
    <xf numFmtId="2" fontId="16" fillId="0" borderId="6" xfId="0" applyNumberFormat="1" applyFont="1" applyBorder="1" applyAlignment="1" applyProtection="1">
      <alignment horizontal="left" vertical="center" wrapText="1" indent="1"/>
      <protection hidden="1"/>
    </xf>
    <xf numFmtId="2" fontId="16" fillId="0" borderId="7" xfId="0" applyNumberFormat="1" applyFont="1" applyBorder="1" applyAlignment="1" applyProtection="1">
      <alignment horizontal="left" vertical="center" wrapText="1" indent="1"/>
      <protection hidden="1"/>
    </xf>
    <xf numFmtId="0" fontId="6" fillId="3" borderId="1" xfId="0" applyFont="1" applyFill="1" applyBorder="1" applyAlignment="1" applyProtection="1">
      <alignment horizontal="center" vertical="center"/>
      <protection locked="0" hidden="1"/>
    </xf>
    <xf numFmtId="0" fontId="6" fillId="3" borderId="1" xfId="0" applyFont="1" applyFill="1" applyBorder="1" applyAlignment="1" applyProtection="1">
      <alignment horizontal="center" vertical="center" wrapText="1"/>
      <protection locked="0" hidden="1"/>
    </xf>
    <xf numFmtId="0" fontId="6" fillId="3" borderId="5" xfId="0" applyFont="1" applyFill="1" applyBorder="1" applyAlignment="1" applyProtection="1">
      <alignment horizontal="center" vertical="center" wrapText="1"/>
      <protection locked="0" hidden="1"/>
    </xf>
    <xf numFmtId="0" fontId="6" fillId="3" borderId="7" xfId="0" applyFont="1" applyFill="1" applyBorder="1" applyAlignment="1" applyProtection="1">
      <alignment horizontal="center" vertical="center" wrapText="1"/>
      <protection locked="0" hidden="1"/>
    </xf>
    <xf numFmtId="2" fontId="18" fillId="0" borderId="9" xfId="0" applyNumberFormat="1" applyFont="1" applyBorder="1" applyAlignment="1" applyProtection="1">
      <alignment horizontal="left" vertical="center" indent="1"/>
      <protection hidden="1"/>
    </xf>
    <xf numFmtId="2" fontId="18" fillId="0" borderId="2" xfId="0" applyNumberFormat="1" applyFont="1" applyBorder="1" applyAlignment="1" applyProtection="1">
      <alignment horizontal="left" vertical="center" indent="1"/>
      <protection hidden="1"/>
    </xf>
    <xf numFmtId="2" fontId="18" fillId="0" borderId="12" xfId="0" applyNumberFormat="1" applyFont="1" applyBorder="1" applyAlignment="1" applyProtection="1">
      <alignment horizontal="left" vertical="center" indent="1"/>
      <protection hidden="1"/>
    </xf>
    <xf numFmtId="2" fontId="18" fillId="0" borderId="11" xfId="0" applyNumberFormat="1" applyFont="1" applyBorder="1" applyAlignment="1" applyProtection="1">
      <alignment horizontal="left" vertical="center" indent="1"/>
      <protection hidden="1"/>
    </xf>
    <xf numFmtId="2" fontId="18" fillId="0" borderId="3" xfId="0" applyNumberFormat="1" applyFont="1" applyBorder="1" applyAlignment="1" applyProtection="1">
      <alignment horizontal="left" vertical="center" indent="1"/>
      <protection hidden="1"/>
    </xf>
    <xf numFmtId="2" fontId="18" fillId="0" borderId="8" xfId="0" applyNumberFormat="1" applyFont="1" applyBorder="1" applyAlignment="1" applyProtection="1">
      <alignment horizontal="left" vertical="center" inden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0" fontId="12" fillId="0" borderId="6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 wrapText="1"/>
      <protection hidden="1"/>
    </xf>
    <xf numFmtId="0" fontId="12" fillId="0" borderId="7" xfId="0" applyFont="1" applyBorder="1" applyAlignment="1" applyProtection="1">
      <alignment horizontal="center" vertical="center" wrapText="1"/>
      <protection hidden="1"/>
    </xf>
    <xf numFmtId="164" fontId="13" fillId="0" borderId="6" xfId="0" applyNumberFormat="1" applyFont="1" applyBorder="1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left" vertical="center" indent="1"/>
      <protection hidden="1"/>
    </xf>
    <xf numFmtId="0" fontId="13" fillId="0" borderId="5" xfId="0" applyFont="1" applyBorder="1" applyAlignment="1" applyProtection="1">
      <alignment horizontal="left" vertical="center" indent="1"/>
      <protection hidden="1"/>
    </xf>
    <xf numFmtId="0" fontId="6" fillId="0" borderId="6" xfId="0" applyFont="1" applyBorder="1" applyAlignment="1" applyProtection="1">
      <alignment vertical="center"/>
      <protection hidden="1"/>
    </xf>
    <xf numFmtId="0" fontId="14" fillId="4" borderId="29" xfId="0" applyFont="1" applyFill="1" applyBorder="1" applyAlignment="1" applyProtection="1">
      <alignment horizontal="center" vertical="center"/>
      <protection hidden="1"/>
    </xf>
    <xf numFmtId="0" fontId="14" fillId="4" borderId="30" xfId="0" applyFont="1" applyFill="1" applyBorder="1" applyAlignment="1" applyProtection="1">
      <alignment horizontal="center" vertical="center"/>
      <protection hidden="1"/>
    </xf>
    <xf numFmtId="0" fontId="14" fillId="4" borderId="31" xfId="0" applyFont="1" applyFill="1" applyBorder="1" applyAlignment="1" applyProtection="1">
      <alignment horizontal="center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25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26" xfId="0" applyFont="1" applyBorder="1" applyAlignment="1" applyProtection="1">
      <alignment horizontal="center" vertical="center"/>
      <protection hidden="1"/>
    </xf>
    <xf numFmtId="0" fontId="22" fillId="0" borderId="18" xfId="0" applyFont="1" applyBorder="1" applyAlignment="1" applyProtection="1">
      <alignment horizontal="center" vertical="center"/>
      <protection hidden="1"/>
    </xf>
    <xf numFmtId="0" fontId="22" fillId="0" borderId="19" xfId="0" applyFont="1" applyBorder="1" applyAlignment="1" applyProtection="1">
      <alignment horizontal="center" vertical="center"/>
      <protection hidden="1"/>
    </xf>
    <xf numFmtId="0" fontId="22" fillId="0" borderId="33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 applyProtection="1">
      <alignment horizontal="center" vertical="center"/>
      <protection locked="0" hidden="1"/>
    </xf>
    <xf numFmtId="0" fontId="6" fillId="3" borderId="7" xfId="0" applyFont="1" applyFill="1" applyBorder="1" applyAlignment="1" applyProtection="1">
      <alignment horizontal="center" vertical="center"/>
      <protection locked="0" hidden="1"/>
    </xf>
    <xf numFmtId="0" fontId="17" fillId="0" borderId="1" xfId="0" applyFont="1" applyBorder="1" applyAlignment="1" applyProtection="1">
      <alignment horizontal="left" vertical="center" wrapText="1" indent="1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horizontal="center" vertical="center"/>
      <protection locked="0" hidden="1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horizontal="left" vertical="center" inden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left" vertical="center"/>
      <protection hidden="1"/>
    </xf>
    <xf numFmtId="0" fontId="1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42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left" vertical="center" indent="1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13" fillId="0" borderId="9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3" borderId="6" xfId="0" applyFont="1" applyFill="1" applyBorder="1" applyAlignment="1" applyProtection="1">
      <alignment horizontal="center" vertical="center"/>
      <protection locked="0" hidden="1"/>
    </xf>
    <xf numFmtId="0" fontId="13" fillId="0" borderId="6" xfId="0" applyFont="1" applyBorder="1" applyAlignment="1" applyProtection="1">
      <alignment horizontal="center" vertical="center" wrapText="1"/>
      <protection hidden="1"/>
    </xf>
    <xf numFmtId="0" fontId="27" fillId="0" borderId="0" xfId="0" applyFont="1" applyBorder="1" applyAlignment="1" applyProtection="1">
      <alignment horizontal="left" vertical="center" indent="1"/>
      <protection hidden="1"/>
    </xf>
    <xf numFmtId="9" fontId="7" fillId="0" borderId="21" xfId="0" applyNumberFormat="1" applyFont="1" applyBorder="1" applyAlignment="1" applyProtection="1">
      <alignment horizontal="center" vertical="center"/>
      <protection hidden="1"/>
    </xf>
    <xf numFmtId="9" fontId="7" fillId="0" borderId="35" xfId="0" applyNumberFormat="1" applyFont="1" applyBorder="1" applyAlignment="1" applyProtection="1">
      <alignment horizontal="center" vertical="center"/>
      <protection hidden="1"/>
    </xf>
    <xf numFmtId="0" fontId="14" fillId="4" borderId="43" xfId="0" applyFont="1" applyFill="1" applyBorder="1" applyAlignment="1" applyProtection="1">
      <alignment horizontal="center" vertical="center"/>
      <protection hidden="1"/>
    </xf>
    <xf numFmtId="0" fontId="14" fillId="4" borderId="44" xfId="0" applyFont="1" applyFill="1" applyBorder="1" applyAlignment="1" applyProtection="1">
      <alignment horizontal="center" vertical="center"/>
      <protection hidden="1"/>
    </xf>
    <xf numFmtId="0" fontId="26" fillId="4" borderId="61" xfId="0" applyFont="1" applyFill="1" applyBorder="1" applyAlignment="1" applyProtection="1">
      <alignment horizontal="center" vertical="center"/>
      <protection hidden="1"/>
    </xf>
    <xf numFmtId="0" fontId="26" fillId="4" borderId="62" xfId="0" applyFont="1" applyFill="1" applyBorder="1" applyAlignment="1" applyProtection="1">
      <alignment horizontal="center" vertical="center"/>
      <protection hidden="1"/>
    </xf>
    <xf numFmtId="166" fontId="4" fillId="0" borderId="73" xfId="0" applyNumberFormat="1" applyFont="1" applyBorder="1" applyAlignment="1" applyProtection="1">
      <alignment horizontal="center" vertical="center"/>
      <protection hidden="1"/>
    </xf>
    <xf numFmtId="166" fontId="4" fillId="0" borderId="74" xfId="0" applyNumberFormat="1" applyFont="1" applyBorder="1" applyAlignment="1" applyProtection="1">
      <alignment horizontal="center" vertical="center"/>
      <protection hidden="1"/>
    </xf>
    <xf numFmtId="166" fontId="4" fillId="0" borderId="28" xfId="0" applyNumberFormat="1" applyFont="1" applyBorder="1" applyAlignment="1" applyProtection="1">
      <alignment horizontal="center" vertical="center"/>
      <protection hidden="1"/>
    </xf>
    <xf numFmtId="166" fontId="4" fillId="0" borderId="45" xfId="0" applyNumberFormat="1" applyFont="1" applyBorder="1" applyAlignment="1" applyProtection="1">
      <alignment horizontal="center" vertical="center"/>
      <protection hidden="1"/>
    </xf>
    <xf numFmtId="0" fontId="26" fillId="0" borderId="72" xfId="0" applyFont="1" applyBorder="1" applyAlignment="1" applyProtection="1">
      <alignment horizontal="center" vertical="center" wrapText="1"/>
      <protection hidden="1"/>
    </xf>
    <xf numFmtId="0" fontId="26" fillId="0" borderId="75" xfId="0" applyFont="1" applyBorder="1" applyAlignment="1" applyProtection="1">
      <alignment horizontal="center" vertical="center" wrapText="1"/>
      <protection hidden="1"/>
    </xf>
    <xf numFmtId="166" fontId="4" fillId="0" borderId="65" xfId="0" applyNumberFormat="1" applyFont="1" applyBorder="1" applyAlignment="1" applyProtection="1">
      <alignment horizontal="center" vertical="center" wrapText="1"/>
      <protection hidden="1"/>
    </xf>
    <xf numFmtId="166" fontId="4" fillId="0" borderId="66" xfId="0" applyNumberFormat="1" applyFont="1" applyBorder="1" applyAlignment="1" applyProtection="1">
      <alignment horizontal="center" vertical="center" wrapText="1"/>
      <protection hidden="1"/>
    </xf>
    <xf numFmtId="166" fontId="4" fillId="0" borderId="59" xfId="0" applyNumberFormat="1" applyFont="1" applyBorder="1" applyAlignment="1" applyProtection="1">
      <alignment horizontal="center" vertical="center" wrapText="1"/>
      <protection hidden="1"/>
    </xf>
    <xf numFmtId="166" fontId="4" fillId="0" borderId="60" xfId="0" applyNumberFormat="1" applyFont="1" applyBorder="1" applyAlignment="1" applyProtection="1">
      <alignment horizontal="center" vertical="center" wrapText="1"/>
      <protection hidden="1"/>
    </xf>
    <xf numFmtId="166" fontId="4" fillId="0" borderId="70" xfId="0" applyNumberFormat="1" applyFont="1" applyBorder="1" applyAlignment="1" applyProtection="1">
      <alignment horizontal="center" vertical="center"/>
      <protection hidden="1"/>
    </xf>
    <xf numFmtId="166" fontId="4" fillId="0" borderId="71" xfId="0" applyNumberFormat="1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left" vertical="center" indent="1"/>
      <protection hidden="1"/>
    </xf>
    <xf numFmtId="0" fontId="12" fillId="0" borderId="9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3" xfId="0" applyFont="1" applyBorder="1" applyAlignment="1" applyProtection="1">
      <alignment horizontal="center" vertical="center" wrapText="1"/>
      <protection hidden="1"/>
    </xf>
    <xf numFmtId="0" fontId="12" fillId="0" borderId="2" xfId="0" applyFont="1" applyBorder="1" applyAlignment="1" applyProtection="1">
      <alignment horizontal="center" vertical="center"/>
      <protection hidden="1"/>
    </xf>
  </cellXfs>
  <cellStyles count="2">
    <cellStyle name="Link" xfId="1" builtinId="8"/>
    <cellStyle name="Standard" xfId="0" builtinId="0"/>
  </cellStyles>
  <dxfs count="9">
    <dxf>
      <font>
        <b/>
        <i val="0"/>
        <color rgb="FFFF0000"/>
      </font>
      <numFmt numFmtId="167" formatCode="&quot;unzulässig&quot;"/>
      <border>
        <vertical/>
        <horizontal/>
      </border>
    </dxf>
    <dxf>
      <font>
        <b/>
        <i val="0"/>
        <color rgb="FFFF0000"/>
      </font>
      <numFmt numFmtId="167" formatCode="&quot;unzulässig&quot;"/>
    </dxf>
    <dxf>
      <font>
        <b/>
        <i val="0"/>
        <color rgb="FFFF0000"/>
      </font>
      <numFmt numFmtId="167" formatCode="&quot;unzulässig&quot;"/>
    </dxf>
    <dxf>
      <font>
        <b/>
        <i val="0"/>
        <color rgb="FFFF0000"/>
      </font>
      <numFmt numFmtId="168" formatCode="&quot;zu groß&quot;"/>
    </dxf>
    <dxf>
      <font>
        <b/>
        <i val="0"/>
        <color rgb="FFFF0000"/>
      </font>
      <numFmt numFmtId="168" formatCode="&quot;zu groß&quot;"/>
    </dxf>
    <dxf>
      <font>
        <b/>
        <i val="0"/>
        <color rgb="FFFF0000"/>
      </font>
      <numFmt numFmtId="168" formatCode="&quot;zu groß&quot;"/>
    </dxf>
    <dxf>
      <font>
        <b/>
        <i val="0"/>
        <color rgb="FFFF0000"/>
      </font>
      <numFmt numFmtId="169" formatCode="&quot;zu klein&quot;"/>
    </dxf>
    <dxf>
      <font>
        <b/>
        <i val="0"/>
        <color rgb="FFFF0000"/>
      </font>
      <numFmt numFmtId="170" formatCode="&quot;DN ändern&quot;"/>
    </dxf>
    <dxf>
      <font>
        <b/>
        <i val="0"/>
        <strike val="0"/>
        <color rgb="FFFF0000"/>
      </font>
      <numFmt numFmtId="168" formatCode="&quot;zu groß&quot;"/>
      <fill>
        <patternFill patternType="none">
          <bgColor auto="1"/>
        </patternFill>
      </fill>
    </dxf>
  </dxfs>
  <tableStyles count="0" defaultTableStyle="TableStyleMedium2" defaultPivotStyle="PivotStyleMedium9"/>
  <colors>
    <mruColors>
      <color rgb="FF7278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18</xdr:col>
      <xdr:colOff>377190</xdr:colOff>
      <xdr:row>3</xdr:row>
      <xdr:rowOff>277368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7559040" cy="1191768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381001</xdr:colOff>
      <xdr:row>29</xdr:row>
      <xdr:rowOff>21166</xdr:rowOff>
    </xdr:from>
    <xdr:to>
      <xdr:col>17</xdr:col>
      <xdr:colOff>384168</xdr:colOff>
      <xdr:row>35</xdr:row>
      <xdr:rowOff>262716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36" t="15029" r="12230" b="19362"/>
        <a:stretch/>
      </xdr:blipFill>
      <xdr:spPr>
        <a:xfrm>
          <a:off x="381001" y="7990416"/>
          <a:ext cx="6840000" cy="2527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etonwerk-bieren.de/kontak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BR142"/>
  <sheetViews>
    <sheetView tabSelected="1" view="pageBreakPreview" zoomScaleNormal="90" zoomScaleSheetLayoutView="100" workbookViewId="0">
      <selection activeCell="T1" sqref="T1:BE1048576"/>
    </sheetView>
  </sheetViews>
  <sheetFormatPr baseColWidth="10" defaultColWidth="5.7109375" defaultRowHeight="20.100000000000001" customHeight="1" x14ac:dyDescent="0.25"/>
  <cols>
    <col min="1" max="19" width="6" style="1" customWidth="1"/>
    <col min="20" max="20" width="13.140625" style="1" hidden="1" customWidth="1"/>
    <col min="21" max="21" width="9.7109375" style="20" hidden="1" customWidth="1"/>
    <col min="22" max="23" width="9.7109375" style="1" hidden="1" customWidth="1"/>
    <col min="24" max="27" width="9.7109375" style="2" hidden="1" customWidth="1"/>
    <col min="28" max="31" width="9.7109375" style="1" hidden="1" customWidth="1"/>
    <col min="32" max="32" width="9.7109375" style="3" hidden="1" customWidth="1"/>
    <col min="33" max="33" width="9.7109375" style="4" hidden="1" customWidth="1"/>
    <col min="34" max="34" width="6.7109375" style="4" hidden="1" customWidth="1"/>
    <col min="35" max="35" width="9.7109375" style="4" hidden="1" customWidth="1"/>
    <col min="36" max="36" width="9.7109375" style="1" hidden="1" customWidth="1"/>
    <col min="37" max="38" width="9.7109375" style="2" hidden="1" customWidth="1"/>
    <col min="39" max="40" width="9.7109375" style="1" hidden="1" customWidth="1"/>
    <col min="41" max="41" width="9.7109375" style="5" hidden="1" customWidth="1"/>
    <col min="42" max="57" width="9.7109375" style="1" hidden="1" customWidth="1"/>
    <col min="58" max="61" width="9.7109375" style="1" customWidth="1"/>
    <col min="62" max="16384" width="5.7109375" style="1"/>
  </cols>
  <sheetData>
    <row r="1" spans="1:57" ht="24" customHeight="1" thickTop="1" x14ac:dyDescent="0.25">
      <c r="A1" s="329"/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21"/>
      <c r="U1" s="21"/>
      <c r="V1" s="160" t="s">
        <v>49</v>
      </c>
      <c r="W1" s="161"/>
      <c r="X1" s="161"/>
      <c r="Y1" s="161">
        <v>1250</v>
      </c>
      <c r="Z1" s="162" t="s">
        <v>8</v>
      </c>
      <c r="AB1" s="21"/>
      <c r="AG1" s="21"/>
      <c r="AH1" s="21"/>
      <c r="AI1" s="21"/>
      <c r="AJ1" s="3"/>
      <c r="AK1" s="4"/>
      <c r="AL1" s="4"/>
      <c r="AM1" s="21"/>
      <c r="AN1" s="21"/>
      <c r="AO1" s="2"/>
      <c r="AP1" s="2"/>
      <c r="AQ1" s="21"/>
      <c r="AR1" s="21"/>
      <c r="AS1" s="21"/>
      <c r="BA1" s="50"/>
      <c r="BB1" s="50"/>
      <c r="BC1" s="50"/>
      <c r="BD1" s="50"/>
      <c r="BE1" s="50"/>
    </row>
    <row r="2" spans="1:57" ht="24" customHeight="1" thickBot="1" x14ac:dyDescent="0.3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21"/>
      <c r="U2" s="21"/>
      <c r="V2" s="284" t="s">
        <v>116</v>
      </c>
      <c r="W2" s="285"/>
      <c r="X2" s="163" t="s">
        <v>21</v>
      </c>
      <c r="Y2" s="165" t="str">
        <f>IF(AND(G24="",G25="",G26="",G27=""),"",IF(MAX(G24:H27)&gt;1000,500,IF(MAX(G24:H27)&lt;=1000,400,"")))</f>
        <v/>
      </c>
      <c r="Z2" s="164" t="s">
        <v>8</v>
      </c>
      <c r="AA2" s="30"/>
      <c r="AB2" s="21"/>
      <c r="AG2" s="21"/>
      <c r="AH2" s="30"/>
      <c r="AI2" s="30"/>
      <c r="AJ2" s="30"/>
      <c r="AK2" s="30"/>
      <c r="AL2" s="30"/>
      <c r="AM2" s="30"/>
      <c r="AN2" s="30"/>
      <c r="AO2" s="30"/>
      <c r="AP2" s="30"/>
      <c r="AQ2" s="21"/>
      <c r="AR2" s="21"/>
      <c r="AS2" s="21"/>
      <c r="BA2" s="50"/>
      <c r="BB2" s="50"/>
      <c r="BC2" s="50"/>
      <c r="BD2" s="50"/>
      <c r="BE2" s="50"/>
    </row>
    <row r="3" spans="1:57" ht="24" customHeight="1" thickTop="1" thickBot="1" x14ac:dyDescent="0.3">
      <c r="A3" s="329"/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21"/>
      <c r="U3" s="21"/>
      <c r="V3" s="21"/>
      <c r="AB3" s="21"/>
      <c r="AG3" s="21"/>
      <c r="AH3" s="30"/>
      <c r="AI3" s="30"/>
      <c r="AJ3" s="30"/>
      <c r="AK3" s="30"/>
      <c r="AL3" s="30"/>
      <c r="AM3" s="30"/>
      <c r="AN3" s="30"/>
      <c r="AO3" s="30"/>
      <c r="AP3" s="30"/>
      <c r="AQ3" s="21"/>
      <c r="AR3" s="11"/>
      <c r="AS3" s="11"/>
      <c r="AT3" s="11"/>
      <c r="BA3" s="50"/>
      <c r="BB3" s="50"/>
      <c r="BC3" s="50"/>
      <c r="BD3" s="50"/>
      <c r="BE3" s="50"/>
    </row>
    <row r="4" spans="1:57" ht="24" customHeight="1" thickTop="1" thickBot="1" x14ac:dyDescent="0.3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21"/>
      <c r="U4" s="21"/>
      <c r="V4" s="309" t="s">
        <v>117</v>
      </c>
      <c r="W4" s="310"/>
      <c r="X4" s="310"/>
      <c r="Y4" s="310"/>
      <c r="Z4" s="310"/>
      <c r="AA4" s="310"/>
      <c r="AB4" s="310"/>
      <c r="AC4" s="311"/>
      <c r="AE4" s="309" t="s">
        <v>118</v>
      </c>
      <c r="AF4" s="310"/>
      <c r="AG4" s="310"/>
      <c r="AH4" s="310"/>
      <c r="AI4" s="310"/>
      <c r="AJ4" s="310"/>
      <c r="AK4" s="310"/>
      <c r="AL4" s="311"/>
      <c r="AN4" s="358" t="s">
        <v>82</v>
      </c>
      <c r="AO4" s="359"/>
      <c r="AR4" s="11"/>
      <c r="AS4" s="11"/>
      <c r="AT4" s="11"/>
      <c r="BA4" s="50"/>
      <c r="BB4" s="50"/>
      <c r="BC4" s="50"/>
      <c r="BD4" s="50"/>
      <c r="BE4" s="50"/>
    </row>
    <row r="5" spans="1:57" ht="12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1"/>
      <c r="U5" s="21"/>
      <c r="V5" s="312" t="s">
        <v>58</v>
      </c>
      <c r="W5" s="313"/>
      <c r="X5" s="263" t="s">
        <v>63</v>
      </c>
      <c r="Y5" s="316"/>
      <c r="Z5" s="317"/>
      <c r="AA5" s="263" t="s">
        <v>65</v>
      </c>
      <c r="AB5" s="316"/>
      <c r="AC5" s="318"/>
      <c r="AE5" s="343" t="s">
        <v>68</v>
      </c>
      <c r="AF5" s="341"/>
      <c r="AG5" s="339" t="s">
        <v>63</v>
      </c>
      <c r="AH5" s="340"/>
      <c r="AI5" s="341"/>
      <c r="AJ5" s="339" t="s">
        <v>65</v>
      </c>
      <c r="AK5" s="340"/>
      <c r="AL5" s="342"/>
      <c r="AN5" s="79" t="s">
        <v>63</v>
      </c>
      <c r="AO5" s="80" t="s">
        <v>65</v>
      </c>
      <c r="AR5" s="11"/>
      <c r="AS5" s="11"/>
      <c r="AT5" s="11"/>
      <c r="AU5" s="100"/>
      <c r="AV5" s="100"/>
      <c r="BA5" s="50"/>
      <c r="BB5" s="50"/>
      <c r="BC5" s="50"/>
      <c r="BD5" s="50"/>
      <c r="BE5" s="50"/>
    </row>
    <row r="6" spans="1:57" ht="24" customHeight="1" x14ac:dyDescent="0.25">
      <c r="A6" s="21"/>
      <c r="B6" s="331" t="s">
        <v>142</v>
      </c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21"/>
      <c r="T6" s="21"/>
      <c r="U6" s="21"/>
      <c r="V6" s="314"/>
      <c r="W6" s="315"/>
      <c r="X6" s="42" t="s">
        <v>62</v>
      </c>
      <c r="Y6" s="43" t="s">
        <v>60</v>
      </c>
      <c r="Z6" s="44" t="s">
        <v>59</v>
      </c>
      <c r="AA6" s="42" t="s">
        <v>62</v>
      </c>
      <c r="AB6" s="43" t="s">
        <v>60</v>
      </c>
      <c r="AC6" s="60" t="s">
        <v>59</v>
      </c>
      <c r="AE6" s="344"/>
      <c r="AF6" s="337"/>
      <c r="AG6" s="335" t="s">
        <v>79</v>
      </c>
      <c r="AH6" s="336"/>
      <c r="AI6" s="337"/>
      <c r="AJ6" s="335" t="s">
        <v>80</v>
      </c>
      <c r="AK6" s="336"/>
      <c r="AL6" s="338"/>
      <c r="AN6" s="61"/>
      <c r="AO6" s="72"/>
      <c r="BA6" s="50"/>
      <c r="BB6" s="50"/>
      <c r="BC6" s="50"/>
      <c r="BD6" s="50"/>
      <c r="BE6" s="50"/>
    </row>
    <row r="7" spans="1:57" ht="12" customHeight="1" x14ac:dyDescent="0.25">
      <c r="A7" s="21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21"/>
      <c r="T7" s="21"/>
      <c r="U7" s="21"/>
      <c r="V7" s="61" t="s">
        <v>34</v>
      </c>
      <c r="W7" s="41" t="s">
        <v>33</v>
      </c>
      <c r="X7" s="40" t="s">
        <v>63</v>
      </c>
      <c r="Y7" s="43"/>
      <c r="Z7" s="41" t="s">
        <v>64</v>
      </c>
      <c r="AA7" s="40" t="s">
        <v>65</v>
      </c>
      <c r="AB7" s="43"/>
      <c r="AC7" s="62" t="s">
        <v>64</v>
      </c>
      <c r="AE7" s="71" t="s">
        <v>7</v>
      </c>
      <c r="AF7" s="57" t="s">
        <v>32</v>
      </c>
      <c r="AG7" s="56" t="s">
        <v>7</v>
      </c>
      <c r="AH7" s="58" t="s">
        <v>32</v>
      </c>
      <c r="AI7" s="57" t="s">
        <v>81</v>
      </c>
      <c r="AJ7" s="56" t="s">
        <v>7</v>
      </c>
      <c r="AK7" s="58" t="s">
        <v>32</v>
      </c>
      <c r="AL7" s="72" t="s">
        <v>81</v>
      </c>
      <c r="AN7" s="61"/>
      <c r="AO7" s="72"/>
      <c r="BA7" s="50"/>
      <c r="BB7" s="50"/>
      <c r="BC7" s="50"/>
      <c r="BD7" s="50"/>
      <c r="BE7" s="50"/>
    </row>
    <row r="8" spans="1:57" ht="24.95" customHeight="1" thickBot="1" x14ac:dyDescent="0.3">
      <c r="A8" s="333" t="s">
        <v>0</v>
      </c>
      <c r="B8" s="333"/>
      <c r="C8" s="333"/>
      <c r="D8" s="230" t="s">
        <v>149</v>
      </c>
      <c r="E8" s="230"/>
      <c r="F8" s="230"/>
      <c r="G8" s="230"/>
      <c r="H8" s="230"/>
      <c r="I8" s="230"/>
      <c r="J8" s="7"/>
      <c r="K8" s="333" t="s">
        <v>1</v>
      </c>
      <c r="L8" s="333"/>
      <c r="M8" s="333"/>
      <c r="N8" s="230">
        <v>123456</v>
      </c>
      <c r="O8" s="230"/>
      <c r="P8" s="230"/>
      <c r="Q8" s="230"/>
      <c r="R8" s="230"/>
      <c r="S8" s="230"/>
      <c r="T8" s="21"/>
      <c r="U8" s="21"/>
      <c r="V8" s="63" t="str">
        <f>IF(AND(G24&lt;=600,G24&gt;0),"kl",IF(G24&gt;600,"gr",""))</f>
        <v/>
      </c>
      <c r="W8" s="41" t="str">
        <f>V8</f>
        <v/>
      </c>
      <c r="X8" s="40" t="str">
        <f>IF(G24="","",LOOKUP(2,1/(W8:W11&lt;&gt;""),W8:W11))</f>
        <v/>
      </c>
      <c r="Y8" s="43" t="str">
        <f>IF(W8="","",W8&amp;"."&amp;X8)</f>
        <v/>
      </c>
      <c r="Z8" s="45" t="str">
        <f>IF(W8="","",VLOOKUP(Y8,Abstand,2,FALSE))</f>
        <v/>
      </c>
      <c r="AA8" s="40" t="str">
        <f>IF(V9="",V8,V9)</f>
        <v/>
      </c>
      <c r="AB8" s="43" t="str">
        <f>W8&amp;"."&amp;AA8</f>
        <v>.</v>
      </c>
      <c r="AC8" s="64" t="e">
        <f>VLOOKUP(AB8,Abstand,2,FALSE)</f>
        <v>#N/A</v>
      </c>
      <c r="AE8" s="61" t="str">
        <f>IF(G24="","",G24)</f>
        <v/>
      </c>
      <c r="AF8" s="57" t="str">
        <f>IF(W8="","",VLOOKUP(AE8,Muffenplatz,3,FALSE))</f>
        <v/>
      </c>
      <c r="AG8" s="46" t="str">
        <f>IF(G24="","",LOOKUP(2,1/(AE8:AE11&lt;&gt;""),AE8:AE11))</f>
        <v/>
      </c>
      <c r="AH8" s="58" t="str">
        <f>IF(Y8="","",VLOOKUP(AG8,Muffenplatz,3,FALSE))</f>
        <v/>
      </c>
      <c r="AI8" s="57" t="e">
        <f>(AF8+AH8)/2</f>
        <v>#VALUE!</v>
      </c>
      <c r="AJ8" s="46" t="str">
        <f>IF(AE9="",AE8,AE9)</f>
        <v/>
      </c>
      <c r="AK8" s="58" t="str">
        <f>IF(AA8="","",VLOOKUP(AJ8,Muffenplatz,3,FALSE))</f>
        <v/>
      </c>
      <c r="AL8" s="73" t="e">
        <f>(AF8+AK8)/2</f>
        <v>#VALUE!</v>
      </c>
      <c r="AN8" s="61" t="e">
        <f>MAX(Z8,AI8)</f>
        <v>#VALUE!</v>
      </c>
      <c r="AO8" s="72" t="e">
        <f>MAX(AC8,AL8)</f>
        <v>#N/A</v>
      </c>
      <c r="BA8" s="50"/>
      <c r="BB8" s="50"/>
      <c r="BC8" s="50"/>
      <c r="BD8" s="50"/>
      <c r="BE8" s="50"/>
    </row>
    <row r="9" spans="1:57" ht="19.5" thickTop="1" thickBot="1" x14ac:dyDescent="0.3">
      <c r="A9" s="188"/>
      <c r="B9" s="188"/>
      <c r="C9" s="188"/>
      <c r="D9" s="216"/>
      <c r="E9" s="217"/>
      <c r="F9" s="217"/>
      <c r="G9" s="217"/>
      <c r="H9" s="217"/>
      <c r="I9" s="217"/>
      <c r="J9" s="7"/>
      <c r="K9" s="188"/>
      <c r="L9" s="188"/>
      <c r="M9" s="188"/>
      <c r="N9" s="217"/>
      <c r="O9" s="217"/>
      <c r="P9" s="217"/>
      <c r="Q9" s="217"/>
      <c r="R9" s="217"/>
      <c r="S9" s="216"/>
      <c r="T9" s="21"/>
      <c r="U9" s="21"/>
      <c r="V9" s="63" t="str">
        <f>IF(AND(G25&lt;=600,G25&gt;0),"kl",IF(G25&gt;600,"gr",""))</f>
        <v/>
      </c>
      <c r="W9" s="41" t="str">
        <f>V9</f>
        <v/>
      </c>
      <c r="X9" s="40" t="str">
        <f>W8</f>
        <v/>
      </c>
      <c r="Y9" s="43" t="str">
        <f>IF(W9="","",W9&amp;"."&amp;X9)</f>
        <v/>
      </c>
      <c r="Z9" s="45" t="str">
        <f>IF(W9="","",VLOOKUP(Y9,Abstand,2,FALSE))</f>
        <v/>
      </c>
      <c r="AA9" s="40" t="str">
        <f>IF(V10="",V8,V10)</f>
        <v/>
      </c>
      <c r="AB9" s="43" t="str">
        <f>W9&amp;"."&amp;AA9</f>
        <v>.</v>
      </c>
      <c r="AC9" s="64" t="e">
        <f>VLOOKUP(AB9,Abstand,2,FALSE)</f>
        <v>#N/A</v>
      </c>
      <c r="AE9" s="61" t="str">
        <f>IF(G25="","",G25)</f>
        <v/>
      </c>
      <c r="AF9" s="57" t="str">
        <f>IF(OR(W8="",W9=""),"",VLOOKUP(AE9,Muffenplatz,3,FALSE))</f>
        <v/>
      </c>
      <c r="AG9" s="46" t="str">
        <f>AE8</f>
        <v/>
      </c>
      <c r="AH9" s="58" t="str">
        <f>IF(Y9="","",VLOOKUP(AG9,Muffenplatz,3,FALSE))</f>
        <v/>
      </c>
      <c r="AI9" s="57" t="e">
        <f>(AF9+AH9)/2</f>
        <v>#VALUE!</v>
      </c>
      <c r="AJ9" s="46" t="str">
        <f>IF(AE10="",AE8,AE10)</f>
        <v/>
      </c>
      <c r="AK9" s="58" t="str">
        <f>IF(AA9="","",VLOOKUP(AJ9,Muffenplatz,3,FALSE))</f>
        <v/>
      </c>
      <c r="AL9" s="73" t="e">
        <f>(AF9+AK9)/2</f>
        <v>#VALUE!</v>
      </c>
      <c r="AN9" s="61" t="e">
        <f>MAX(Z9,AI9)</f>
        <v>#VALUE!</v>
      </c>
      <c r="AO9" s="72" t="e">
        <f>MAX(AC9,AL9)</f>
        <v>#N/A</v>
      </c>
      <c r="AU9" s="234" t="s">
        <v>114</v>
      </c>
      <c r="AV9" s="235"/>
      <c r="AW9" s="235"/>
      <c r="AX9" s="235"/>
      <c r="AY9" s="236"/>
      <c r="BA9" s="234" t="s">
        <v>130</v>
      </c>
      <c r="BB9" s="235"/>
      <c r="BC9" s="235"/>
      <c r="BD9" s="235"/>
      <c r="BE9" s="236"/>
    </row>
    <row r="10" spans="1:57" ht="24.95" customHeight="1" thickTop="1" thickBot="1" x14ac:dyDescent="0.3">
      <c r="A10" s="333" t="s">
        <v>2</v>
      </c>
      <c r="B10" s="333"/>
      <c r="C10" s="333"/>
      <c r="D10" s="230" t="s">
        <v>150</v>
      </c>
      <c r="E10" s="230"/>
      <c r="F10" s="230"/>
      <c r="G10" s="230"/>
      <c r="H10" s="230"/>
      <c r="I10" s="230"/>
      <c r="J10" s="7"/>
      <c r="K10" s="333" t="s">
        <v>3</v>
      </c>
      <c r="L10" s="333"/>
      <c r="M10" s="333"/>
      <c r="N10" s="230" t="s">
        <v>152</v>
      </c>
      <c r="O10" s="230"/>
      <c r="P10" s="230"/>
      <c r="Q10" s="230"/>
      <c r="R10" s="230"/>
      <c r="S10" s="230"/>
      <c r="T10" s="21"/>
      <c r="U10" s="21"/>
      <c r="V10" s="63" t="str">
        <f>IF(AND(G26&lt;=600,G26&gt;0),"kl",IF(G26&gt;600,"gr",""))</f>
        <v/>
      </c>
      <c r="W10" s="41" t="str">
        <f>V10</f>
        <v/>
      </c>
      <c r="X10" s="40" t="str">
        <f>W9</f>
        <v/>
      </c>
      <c r="Y10" s="43" t="str">
        <f>IF(W10="","",W10&amp;"."&amp;X10)</f>
        <v/>
      </c>
      <c r="Z10" s="45" t="str">
        <f>IF(W10="","",VLOOKUP(Y10,Abstand,2,FALSE))</f>
        <v/>
      </c>
      <c r="AA10" s="40" t="str">
        <f>IF(V11="",V8,V11)</f>
        <v/>
      </c>
      <c r="AB10" s="43" t="str">
        <f>W10&amp;"."&amp;AA10</f>
        <v>.</v>
      </c>
      <c r="AC10" s="64" t="e">
        <f>VLOOKUP(AB10,Abstand,2,FALSE)</f>
        <v>#N/A</v>
      </c>
      <c r="AE10" s="61" t="str">
        <f>IF(G26="","",G26)</f>
        <v/>
      </c>
      <c r="AF10" s="57" t="str">
        <f>IF(OR(W8="",W9="",W10=""),"",VLOOKUP(AE10,Muffenplatz,3,FALSE))</f>
        <v/>
      </c>
      <c r="AG10" s="46" t="str">
        <f>AE9</f>
        <v/>
      </c>
      <c r="AH10" s="58" t="str">
        <f>IF(Y10="","",VLOOKUP(AG10,Muffenplatz,3,FALSE))</f>
        <v/>
      </c>
      <c r="AI10" s="57" t="e">
        <f>(AF10+AH10)/2</f>
        <v>#VALUE!</v>
      </c>
      <c r="AJ10" s="46" t="str">
        <f>IF(AE11="",AE8,AE11)</f>
        <v/>
      </c>
      <c r="AK10" s="58" t="str">
        <f>IF(AA10="","",VLOOKUP(AJ10,Muffenplatz,3,FALSE))</f>
        <v/>
      </c>
      <c r="AL10" s="73" t="e">
        <f>(AF10+AK10)/2</f>
        <v>#VALUE!</v>
      </c>
      <c r="AN10" s="61" t="e">
        <f>MAX(Z10,AI10)</f>
        <v>#VALUE!</v>
      </c>
      <c r="AO10" s="72" t="e">
        <f>MAX(AC10,AL10)</f>
        <v>#N/A</v>
      </c>
      <c r="AU10" s="116"/>
      <c r="AV10" s="117"/>
      <c r="AW10" s="117"/>
      <c r="AX10" s="117" t="s">
        <v>21</v>
      </c>
      <c r="AY10" s="118" t="s">
        <v>78</v>
      </c>
      <c r="BA10" s="245" t="s">
        <v>119</v>
      </c>
      <c r="BB10" s="169" t="s">
        <v>96</v>
      </c>
      <c r="BC10" s="170" t="s">
        <v>83</v>
      </c>
      <c r="BD10" s="250">
        <f>PI()*AX15^2</f>
        <v>1.7671458676442586</v>
      </c>
      <c r="BE10" s="251"/>
    </row>
    <row r="11" spans="1:57" ht="18.75" thickBot="1" x14ac:dyDescent="0.3">
      <c r="A11" s="189"/>
      <c r="B11" s="189"/>
      <c r="C11" s="189"/>
      <c r="D11" s="216"/>
      <c r="E11" s="217"/>
      <c r="F11" s="217"/>
      <c r="G11" s="217"/>
      <c r="H11" s="217"/>
      <c r="I11" s="217"/>
      <c r="J11" s="7"/>
      <c r="K11" s="189"/>
      <c r="L11" s="189"/>
      <c r="M11" s="189"/>
      <c r="N11" s="217"/>
      <c r="O11" s="217"/>
      <c r="P11" s="217"/>
      <c r="Q11" s="217"/>
      <c r="R11" s="217"/>
      <c r="S11" s="216"/>
      <c r="T11" s="21"/>
      <c r="U11" s="21"/>
      <c r="V11" s="65" t="str">
        <f>IF(AND(G27&lt;=600,G27&gt;0),"kl",IF(G27&gt;600,"gr",""))</f>
        <v/>
      </c>
      <c r="W11" s="66" t="str">
        <f>V11</f>
        <v/>
      </c>
      <c r="X11" s="67" t="str">
        <f>W10</f>
        <v/>
      </c>
      <c r="Y11" s="68" t="str">
        <f>IF(W11="","",W11&amp;"."&amp;X11)</f>
        <v/>
      </c>
      <c r="Z11" s="69" t="str">
        <f>IF(OR(W9="",W10="",W11=""),"",VLOOKUP(Y11,Abstand,2,FALSE))</f>
        <v/>
      </c>
      <c r="AA11" s="67" t="str">
        <f>V8</f>
        <v/>
      </c>
      <c r="AB11" s="68" t="str">
        <f>W11&amp;"."&amp;AA11</f>
        <v>.</v>
      </c>
      <c r="AC11" s="70" t="e">
        <f>VLOOKUP(AB11,Abstand,2,FALSE)</f>
        <v>#N/A</v>
      </c>
      <c r="AE11" s="74" t="str">
        <f>IF(G27="","",G27)</f>
        <v/>
      </c>
      <c r="AF11" s="75" t="str">
        <f>IF(OR(W8="",W9="",W10="",W11=""),"",VLOOKUP(AE11,Muffenplatz,3,FALSE))</f>
        <v/>
      </c>
      <c r="AG11" s="76" t="str">
        <f>AE10</f>
        <v/>
      </c>
      <c r="AH11" s="77" t="str">
        <f>IF(Y11="","",VLOOKUP(AG11,Muffenplatz,3,FALSE))</f>
        <v/>
      </c>
      <c r="AI11" s="75" t="e">
        <f>(AF11+AH11)/2</f>
        <v>#VALUE!</v>
      </c>
      <c r="AJ11" s="76" t="str">
        <f>AE8</f>
        <v/>
      </c>
      <c r="AK11" s="77" t="str">
        <f>IF(AA11="","",VLOOKUP(AJ11,Muffenplatz,3,FALSE))</f>
        <v/>
      </c>
      <c r="AL11" s="78" t="e">
        <f>(AF11+AK11)/2</f>
        <v>#VALUE!</v>
      </c>
      <c r="AN11" s="74" t="e">
        <f>MAX(Z11,AI11)</f>
        <v>#VALUE!</v>
      </c>
      <c r="AO11" s="81" t="e">
        <f>MAX(AC11,AL11)</f>
        <v>#N/A</v>
      </c>
      <c r="AU11" s="247" t="s">
        <v>85</v>
      </c>
      <c r="AV11" s="109" t="s">
        <v>7</v>
      </c>
      <c r="AW11" s="109" t="s">
        <v>75</v>
      </c>
      <c r="AX11" s="368">
        <f>G16/1000</f>
        <v>1.5</v>
      </c>
      <c r="AY11" s="369"/>
      <c r="BA11" s="246"/>
      <c r="BB11" s="166" t="s">
        <v>120</v>
      </c>
      <c r="BC11" s="166" t="s">
        <v>75</v>
      </c>
      <c r="BD11" s="252">
        <f>MAX(G24:H27)/1000</f>
        <v>0</v>
      </c>
      <c r="BE11" s="253"/>
    </row>
    <row r="12" spans="1:57" ht="24.95" customHeight="1" thickTop="1" x14ac:dyDescent="0.25">
      <c r="A12" s="333" t="s">
        <v>4</v>
      </c>
      <c r="B12" s="333"/>
      <c r="C12" s="333"/>
      <c r="D12" s="230" t="s">
        <v>151</v>
      </c>
      <c r="E12" s="230"/>
      <c r="F12" s="230"/>
      <c r="G12" s="230"/>
      <c r="H12" s="230"/>
      <c r="I12" s="230"/>
      <c r="J12" s="7"/>
      <c r="K12" s="333" t="s">
        <v>53</v>
      </c>
      <c r="L12" s="333"/>
      <c r="M12" s="333"/>
      <c r="N12" s="230" t="s">
        <v>153</v>
      </c>
      <c r="O12" s="230"/>
      <c r="P12" s="230"/>
      <c r="Q12" s="230"/>
      <c r="R12" s="230"/>
      <c r="S12" s="230"/>
      <c r="T12" s="21"/>
      <c r="U12" s="21"/>
      <c r="AU12" s="248"/>
      <c r="AV12" s="103" t="s">
        <v>84</v>
      </c>
      <c r="AW12" s="103" t="s">
        <v>75</v>
      </c>
      <c r="AX12" s="370">
        <f>Q16/1000</f>
        <v>0.4</v>
      </c>
      <c r="AY12" s="371"/>
      <c r="BA12" s="246"/>
      <c r="BB12" s="166" t="s">
        <v>121</v>
      </c>
      <c r="BC12" s="166" t="s">
        <v>75</v>
      </c>
      <c r="BD12" s="252">
        <f>IF(BD11&gt;0.5,0.5,BD11)</f>
        <v>0</v>
      </c>
      <c r="BE12" s="253"/>
    </row>
    <row r="13" spans="1:57" ht="12" customHeight="1" thickBot="1" x14ac:dyDescent="0.3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AU13" s="248"/>
      <c r="AV13" s="103" t="s">
        <v>86</v>
      </c>
      <c r="AW13" s="103" t="s">
        <v>75</v>
      </c>
      <c r="AX13" s="370">
        <f>AX11+2*AX12</f>
        <v>2.2999999999999998</v>
      </c>
      <c r="AY13" s="371"/>
      <c r="BA13" s="246"/>
      <c r="BB13" s="167" t="s">
        <v>122</v>
      </c>
      <c r="BC13" s="167" t="s">
        <v>91</v>
      </c>
      <c r="BD13" s="241">
        <f>BD10*BD12*AX17</f>
        <v>0</v>
      </c>
      <c r="BE13" s="242"/>
    </row>
    <row r="14" spans="1:57" ht="12" customHeight="1" thickTop="1" thickBot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21"/>
      <c r="U14" s="21"/>
      <c r="V14" s="272" t="s">
        <v>112</v>
      </c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4"/>
      <c r="AH14" s="30"/>
      <c r="AI14" s="272" t="s">
        <v>113</v>
      </c>
      <c r="AJ14" s="273"/>
      <c r="AK14" s="273"/>
      <c r="AL14" s="273"/>
      <c r="AM14" s="273"/>
      <c r="AN14" s="273"/>
      <c r="AO14" s="273"/>
      <c r="AP14" s="273"/>
      <c r="AQ14" s="274"/>
      <c r="AR14" s="358" t="s">
        <v>81</v>
      </c>
      <c r="AS14" s="359"/>
      <c r="AU14" s="248"/>
      <c r="AV14" s="104" t="s">
        <v>87</v>
      </c>
      <c r="AW14" s="104" t="s">
        <v>75</v>
      </c>
      <c r="AX14" s="267">
        <f>AX13/2</f>
        <v>1.1499999999999999</v>
      </c>
      <c r="AY14" s="268"/>
      <c r="BA14" s="246"/>
      <c r="BB14" s="233" t="s">
        <v>123</v>
      </c>
      <c r="BC14" s="167" t="s">
        <v>128</v>
      </c>
      <c r="BD14" s="237">
        <f>G24/1000</f>
        <v>0</v>
      </c>
      <c r="BE14" s="238"/>
    </row>
    <row r="15" spans="1:57" s="190" customFormat="1" ht="24.95" customHeight="1" thickTop="1" thickBot="1" x14ac:dyDescent="0.3">
      <c r="A15" s="355" t="s">
        <v>5</v>
      </c>
      <c r="B15" s="355"/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V15" s="275" t="s">
        <v>36</v>
      </c>
      <c r="W15" s="82" t="s">
        <v>40</v>
      </c>
      <c r="X15" s="83"/>
      <c r="Y15" s="84"/>
      <c r="Z15" s="85">
        <v>0</v>
      </c>
      <c r="AA15" s="86"/>
      <c r="AB15" s="86"/>
      <c r="AC15" s="87"/>
      <c r="AD15" s="86"/>
      <c r="AE15" s="86"/>
      <c r="AF15" s="88" t="s">
        <v>34</v>
      </c>
      <c r="AG15" s="89" t="s">
        <v>33</v>
      </c>
      <c r="AH15" s="30"/>
      <c r="AI15" s="122" t="s">
        <v>108</v>
      </c>
      <c r="AJ15" s="123"/>
      <c r="AK15" s="123"/>
      <c r="AL15" s="124" t="s">
        <v>21</v>
      </c>
      <c r="AM15" s="125" t="s">
        <v>78</v>
      </c>
      <c r="AN15" s="122" t="s">
        <v>101</v>
      </c>
      <c r="AO15" s="123"/>
      <c r="AP15" s="123"/>
      <c r="AQ15" s="125" t="s">
        <v>21</v>
      </c>
      <c r="AR15" s="100" t="s">
        <v>21</v>
      </c>
      <c r="AS15" s="119" t="s">
        <v>78</v>
      </c>
      <c r="AT15" s="1"/>
      <c r="AU15" s="248"/>
      <c r="AV15" s="104" t="s">
        <v>97</v>
      </c>
      <c r="AW15" s="104" t="s">
        <v>75</v>
      </c>
      <c r="AX15" s="267">
        <f>AX11/2</f>
        <v>0.75</v>
      </c>
      <c r="AY15" s="268"/>
      <c r="AZ15" s="1"/>
      <c r="BA15" s="246"/>
      <c r="BB15" s="233"/>
      <c r="BC15" s="167" t="s">
        <v>129</v>
      </c>
      <c r="BD15" s="237" t="str">
        <f>IF(BD14&gt;0.5,100/(100/BD14*0.5*0.6),"2")</f>
        <v>2</v>
      </c>
      <c r="BE15" s="238"/>
    </row>
    <row r="16" spans="1:57" ht="24.95" customHeight="1" x14ac:dyDescent="0.25">
      <c r="A16" s="307" t="s">
        <v>6</v>
      </c>
      <c r="B16" s="345"/>
      <c r="C16" s="345"/>
      <c r="D16" s="200" t="s">
        <v>7</v>
      </c>
      <c r="E16" s="29"/>
      <c r="F16" s="9"/>
      <c r="G16" s="334">
        <v>1500</v>
      </c>
      <c r="H16" s="334"/>
      <c r="I16" s="10" t="s">
        <v>8</v>
      </c>
      <c r="J16" s="21"/>
      <c r="K16" s="307" t="s">
        <v>9</v>
      </c>
      <c r="L16" s="345"/>
      <c r="M16" s="345"/>
      <c r="N16" s="200" t="s">
        <v>10</v>
      </c>
      <c r="O16" s="28" t="s">
        <v>11</v>
      </c>
      <c r="P16" s="9"/>
      <c r="Q16" s="332">
        <f>IF(G16=1500,400,IF(G16=2000,450,""))</f>
        <v>400</v>
      </c>
      <c r="R16" s="332"/>
      <c r="S16" s="27" t="s">
        <v>8</v>
      </c>
      <c r="T16" s="21"/>
      <c r="U16" s="21"/>
      <c r="V16" s="276"/>
      <c r="W16" s="260" t="s">
        <v>67</v>
      </c>
      <c r="X16" s="32" t="s">
        <v>68</v>
      </c>
      <c r="Y16" s="32" t="str">
        <f>W8</f>
        <v/>
      </c>
      <c r="Z16" s="33"/>
      <c r="AA16" s="263" t="s">
        <v>69</v>
      </c>
      <c r="AB16" s="32" t="s">
        <v>70</v>
      </c>
      <c r="AC16" s="33">
        <v>0</v>
      </c>
      <c r="AD16" s="264" t="s">
        <v>71</v>
      </c>
      <c r="AE16" s="32" t="s">
        <v>70</v>
      </c>
      <c r="AF16" s="37"/>
      <c r="AG16" s="90">
        <f>Z15</f>
        <v>0</v>
      </c>
      <c r="AH16" s="30"/>
      <c r="AI16" s="143" t="s">
        <v>106</v>
      </c>
      <c r="AJ16" s="144"/>
      <c r="AK16" s="114" t="s">
        <v>83</v>
      </c>
      <c r="AL16" s="362">
        <f>IF(Y16="",VLOOKUP("gr",Schildmaße,3,FALSE),VLOOKUP(Y16,Schildmaße,3,FALSE))</f>
        <v>0.24906826753696379</v>
      </c>
      <c r="AM16" s="363"/>
      <c r="AN16" s="143" t="s">
        <v>111</v>
      </c>
      <c r="AO16" s="144"/>
      <c r="AP16" s="114" t="s">
        <v>75</v>
      </c>
      <c r="AQ16" s="158" t="str">
        <f>IF(G24="","",G24/1000)</f>
        <v/>
      </c>
      <c r="AR16" s="145"/>
      <c r="AS16" s="146"/>
      <c r="AU16" s="248"/>
      <c r="AV16" s="104" t="s">
        <v>12</v>
      </c>
      <c r="AW16" s="104" t="s">
        <v>75</v>
      </c>
      <c r="AX16" s="107">
        <f>G18/1000</f>
        <v>1.25</v>
      </c>
      <c r="AY16" s="106">
        <f>G19/1000</f>
        <v>1.25</v>
      </c>
      <c r="BA16" s="246"/>
      <c r="BB16" s="233"/>
      <c r="BC16" s="167" t="s">
        <v>90</v>
      </c>
      <c r="BD16" s="239">
        <f>(PI()*((G24/2/1000)^2))*(AX11*0.4)/BD15</f>
        <v>0</v>
      </c>
      <c r="BE16" s="240"/>
    </row>
    <row r="17" spans="1:70" ht="24.95" customHeight="1" thickBot="1" x14ac:dyDescent="0.3">
      <c r="A17" s="347" t="s">
        <v>12</v>
      </c>
      <c r="B17" s="348"/>
      <c r="C17" s="348"/>
      <c r="D17" s="200" t="s">
        <v>13</v>
      </c>
      <c r="E17" s="308" t="s">
        <v>14</v>
      </c>
      <c r="F17" s="308"/>
      <c r="G17" s="332">
        <f>IF(AND(G24="",G25="",G26="",G27=""),G18-Q17,IF((MAX(T24:T27)+Y2)&lt;G18-Q17,G18-Q17,(MAX(T24:T27)+Y2)))</f>
        <v>1050</v>
      </c>
      <c r="H17" s="332"/>
      <c r="I17" s="26" t="s">
        <v>8</v>
      </c>
      <c r="J17" s="21"/>
      <c r="K17" s="307"/>
      <c r="L17" s="345"/>
      <c r="M17" s="345"/>
      <c r="N17" s="200" t="s">
        <v>15</v>
      </c>
      <c r="O17" s="28" t="s">
        <v>16</v>
      </c>
      <c r="P17" s="9"/>
      <c r="Q17" s="332">
        <f>IF(AND(G24="",G25="",G26="",G27=""),200,300)</f>
        <v>200</v>
      </c>
      <c r="R17" s="332"/>
      <c r="S17" s="27" t="s">
        <v>8</v>
      </c>
      <c r="T17" s="21"/>
      <c r="U17" s="21"/>
      <c r="V17" s="276"/>
      <c r="W17" s="261"/>
      <c r="X17" s="34" t="s">
        <v>63</v>
      </c>
      <c r="Y17" s="34" t="str">
        <f>X8</f>
        <v/>
      </c>
      <c r="Z17" s="35" t="str">
        <f>IF(G24="","",AN8)</f>
        <v/>
      </c>
      <c r="AA17" s="255"/>
      <c r="AB17" s="34" t="s">
        <v>46</v>
      </c>
      <c r="AC17" s="36" t="str">
        <f>IF(G24="","",Z17/2)</f>
        <v/>
      </c>
      <c r="AD17" s="258"/>
      <c r="AE17" s="34" t="s">
        <v>46</v>
      </c>
      <c r="AF17" s="38" t="str">
        <f>IF(G24="","",400-AC17)</f>
        <v/>
      </c>
      <c r="AG17" s="91" t="str">
        <f>AF17</f>
        <v/>
      </c>
      <c r="AH17" s="30"/>
      <c r="AI17" s="120" t="s">
        <v>22</v>
      </c>
      <c r="AJ17" s="121"/>
      <c r="AK17" s="104" t="s">
        <v>90</v>
      </c>
      <c r="AL17" s="107">
        <f>AL16*AX16</f>
        <v>0.31133533442120476</v>
      </c>
      <c r="AM17" s="108">
        <f>AL16*AY16</f>
        <v>0.31133533442120476</v>
      </c>
      <c r="AN17" s="120" t="s">
        <v>109</v>
      </c>
      <c r="AO17" s="121"/>
      <c r="AP17" s="104" t="s">
        <v>90</v>
      </c>
      <c r="AQ17" s="108" t="str">
        <f>IF(G24="","",((PI()*AQ16^2)/4)*0.25)</f>
        <v/>
      </c>
      <c r="AR17" s="105"/>
      <c r="AS17" s="147"/>
      <c r="AT17" s="49"/>
      <c r="AU17" s="249"/>
      <c r="AV17" s="113" t="s">
        <v>89</v>
      </c>
      <c r="AW17" s="113" t="s">
        <v>92</v>
      </c>
      <c r="AX17" s="372">
        <f>2500/1000</f>
        <v>2.5</v>
      </c>
      <c r="AY17" s="373"/>
      <c r="BA17" s="246"/>
      <c r="BB17" s="233" t="s">
        <v>124</v>
      </c>
      <c r="BC17" s="167" t="s">
        <v>128</v>
      </c>
      <c r="BD17" s="237">
        <f>G25/1000</f>
        <v>0</v>
      </c>
      <c r="BE17" s="238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</row>
    <row r="18" spans="1:70" ht="24.95" customHeight="1" thickBot="1" x14ac:dyDescent="0.3">
      <c r="A18" s="349"/>
      <c r="B18" s="350"/>
      <c r="C18" s="350"/>
      <c r="D18" s="200" t="s">
        <v>17</v>
      </c>
      <c r="E18" s="308" t="s">
        <v>14</v>
      </c>
      <c r="F18" s="308"/>
      <c r="G18" s="354">
        <f>IF(AND(G24="",G25="",G26="",G27=""),Y1,IF((ROUNDUP((MAX(T24:T27)+Q17+Y2)/25,0)*25)&lt;Y1,Y1,(ROUNDUP((MAX(T24:T27)+Q17+Y2)/25,0)*25)))</f>
        <v>1250</v>
      </c>
      <c r="H18" s="354"/>
      <c r="I18" s="26" t="s">
        <v>8</v>
      </c>
      <c r="J18" s="190" t="s">
        <v>146</v>
      </c>
      <c r="K18" s="306" t="s">
        <v>52</v>
      </c>
      <c r="L18" s="306"/>
      <c r="M18" s="307"/>
      <c r="N18" s="200" t="s">
        <v>17</v>
      </c>
      <c r="O18" s="346" t="str">
        <f>G18&amp;" mm"</f>
        <v>1250 mm</v>
      </c>
      <c r="P18" s="346"/>
      <c r="Q18" s="304">
        <f>ROUNDUP(BD37,1)</f>
        <v>6.6999999999999993</v>
      </c>
      <c r="R18" s="304"/>
      <c r="S18" s="26" t="s">
        <v>18</v>
      </c>
      <c r="T18" s="21"/>
      <c r="U18" s="21"/>
      <c r="V18" s="277"/>
      <c r="W18" s="262"/>
      <c r="X18" s="92" t="s">
        <v>66</v>
      </c>
      <c r="Y18" s="92" t="str">
        <f>AA8</f>
        <v/>
      </c>
      <c r="Z18" s="93" t="str">
        <f>IF(G24="","",AO8)</f>
        <v/>
      </c>
      <c r="AA18" s="256"/>
      <c r="AB18" s="92" t="s">
        <v>47</v>
      </c>
      <c r="AC18" s="93" t="str">
        <f>IF(G24="","",Z18/2)</f>
        <v/>
      </c>
      <c r="AD18" s="259"/>
      <c r="AE18" s="92" t="s">
        <v>47</v>
      </c>
      <c r="AF18" s="94" t="str">
        <f>IF(G24="","",AG16+AC18)</f>
        <v/>
      </c>
      <c r="AG18" s="95" t="str">
        <f>AF18</f>
        <v/>
      </c>
      <c r="AH18" s="30"/>
      <c r="AI18" s="148" t="s">
        <v>107</v>
      </c>
      <c r="AJ18" s="149"/>
      <c r="AK18" s="150" t="s">
        <v>91</v>
      </c>
      <c r="AL18" s="151">
        <f>AL17*AX17</f>
        <v>0.77833833605301184</v>
      </c>
      <c r="AM18" s="152">
        <f>AM17*AX17</f>
        <v>0.77833833605301184</v>
      </c>
      <c r="AN18" s="148" t="s">
        <v>110</v>
      </c>
      <c r="AO18" s="149"/>
      <c r="AP18" s="150" t="s">
        <v>91</v>
      </c>
      <c r="AQ18" s="152" t="str">
        <f>IF(G24="","0",AQ17*AX17)</f>
        <v>0</v>
      </c>
      <c r="AR18" s="153">
        <f>AL18+AQ18</f>
        <v>0.77833833605301184</v>
      </c>
      <c r="AS18" s="154">
        <f>AM18+AQ18</f>
        <v>0.77833833605301184</v>
      </c>
      <c r="AT18" s="49"/>
      <c r="AU18" s="366" t="s">
        <v>30</v>
      </c>
      <c r="AV18" s="114" t="s">
        <v>88</v>
      </c>
      <c r="AW18" s="114" t="s">
        <v>83</v>
      </c>
      <c r="AX18" s="362">
        <f>PI()*AX14^2</f>
        <v>4.1547562843725006</v>
      </c>
      <c r="AY18" s="363"/>
      <c r="BA18" s="246"/>
      <c r="BB18" s="233"/>
      <c r="BC18" s="167" t="s">
        <v>129</v>
      </c>
      <c r="BD18" s="237" t="str">
        <f>IF(BD17&gt;0.5,100/(100/BD17*0.5*0.6),"2")</f>
        <v>2</v>
      </c>
      <c r="BE18" s="238"/>
      <c r="BF18" s="50"/>
    </row>
    <row r="19" spans="1:70" ht="24.95" customHeight="1" thickTop="1" x14ac:dyDescent="0.25">
      <c r="A19" s="351"/>
      <c r="B19" s="352"/>
      <c r="C19" s="352"/>
      <c r="D19" s="200" t="s">
        <v>17</v>
      </c>
      <c r="E19" s="308" t="s">
        <v>19</v>
      </c>
      <c r="F19" s="308"/>
      <c r="G19" s="353">
        <f>G18</f>
        <v>1250</v>
      </c>
      <c r="H19" s="353"/>
      <c r="I19" s="26" t="s">
        <v>8</v>
      </c>
      <c r="J19" s="190" t="s">
        <v>146</v>
      </c>
      <c r="K19" s="306"/>
      <c r="L19" s="306"/>
      <c r="M19" s="307"/>
      <c r="N19" s="200" t="s">
        <v>17</v>
      </c>
      <c r="O19" s="346" t="str">
        <f>IF(G19="","",G19&amp;" mm")</f>
        <v>1250 mm</v>
      </c>
      <c r="P19" s="346"/>
      <c r="Q19" s="304">
        <f>ROUNDUP(BE37,1)</f>
        <v>6.6999999999999993</v>
      </c>
      <c r="R19" s="304"/>
      <c r="S19" s="26" t="s">
        <v>18</v>
      </c>
      <c r="T19" s="21"/>
      <c r="U19" s="21"/>
      <c r="V19" s="280" t="s">
        <v>39</v>
      </c>
      <c r="W19" s="283" t="s">
        <v>67</v>
      </c>
      <c r="X19" s="96" t="s">
        <v>68</v>
      </c>
      <c r="Y19" s="96" t="str">
        <f>IF(G25="","",W9)</f>
        <v/>
      </c>
      <c r="Z19" s="97"/>
      <c r="AA19" s="254" t="s">
        <v>69</v>
      </c>
      <c r="AB19" s="96" t="s">
        <v>70</v>
      </c>
      <c r="AC19" s="97"/>
      <c r="AD19" s="257" t="s">
        <v>71</v>
      </c>
      <c r="AE19" s="96" t="s">
        <v>70</v>
      </c>
      <c r="AF19" s="98"/>
      <c r="AG19" s="99" t="str">
        <f>IF(G25="","",I25)</f>
        <v/>
      </c>
      <c r="AH19" s="30"/>
      <c r="AI19" s="143" t="s">
        <v>106</v>
      </c>
      <c r="AJ19" s="144"/>
      <c r="AK19" s="114" t="s">
        <v>83</v>
      </c>
      <c r="AL19" s="362">
        <f>IF(Y19="",VLOOKUP("gr",Schildmaße,3,FALSE),VLOOKUP(Y19,Schildmaße,3,FALSE))</f>
        <v>0.24906826753696379</v>
      </c>
      <c r="AM19" s="363"/>
      <c r="AN19" s="143" t="s">
        <v>111</v>
      </c>
      <c r="AO19" s="144"/>
      <c r="AP19" s="114" t="s">
        <v>75</v>
      </c>
      <c r="AQ19" s="159" t="str">
        <f>IF(OR(G24="",G25=""),"",G25/1000)</f>
        <v/>
      </c>
      <c r="AR19" s="145"/>
      <c r="AS19" s="146"/>
      <c r="AT19" s="49"/>
      <c r="AU19" s="270"/>
      <c r="AV19" s="104" t="s">
        <v>25</v>
      </c>
      <c r="AW19" s="104" t="s">
        <v>75</v>
      </c>
      <c r="AX19" s="267">
        <f>Q17/1000+0.003</f>
        <v>0.20300000000000001</v>
      </c>
      <c r="AY19" s="268"/>
      <c r="BA19" s="246"/>
      <c r="BB19" s="233"/>
      <c r="BC19" s="167" t="s">
        <v>90</v>
      </c>
      <c r="BD19" s="239">
        <f>(PI()*((G25/2/1000)^2))*(AX11*0.4)/BD18</f>
        <v>0</v>
      </c>
      <c r="BE19" s="240"/>
      <c r="BF19" s="50"/>
    </row>
    <row r="20" spans="1:70" ht="12" customHeight="1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1"/>
      <c r="U20" s="21"/>
      <c r="V20" s="281"/>
      <c r="W20" s="261"/>
      <c r="X20" s="34" t="s">
        <v>63</v>
      </c>
      <c r="Y20" s="34" t="str">
        <f>IF(G25="","",X9)</f>
        <v/>
      </c>
      <c r="Z20" s="35" t="str">
        <f>IF(OR(G24="",G25=""),"",AN9)</f>
        <v/>
      </c>
      <c r="AA20" s="255"/>
      <c r="AB20" s="34" t="s">
        <v>46</v>
      </c>
      <c r="AC20" s="36" t="str">
        <f>IF(OR(G24="",G25=""),"",Z20/2)</f>
        <v/>
      </c>
      <c r="AD20" s="258"/>
      <c r="AE20" s="34" t="s">
        <v>46</v>
      </c>
      <c r="AF20" s="38" t="str">
        <f>IF(OR(G24="",G25=""),"",AF18+AC20)</f>
        <v/>
      </c>
      <c r="AG20" s="91" t="str">
        <f>IF(OR(G24="",G25=""),"",AG19-AC20)</f>
        <v/>
      </c>
      <c r="AH20" s="30"/>
      <c r="AI20" s="120" t="s">
        <v>22</v>
      </c>
      <c r="AJ20" s="121"/>
      <c r="AK20" s="104" t="s">
        <v>90</v>
      </c>
      <c r="AL20" s="107">
        <f>AL19*AX16</f>
        <v>0.31133533442120476</v>
      </c>
      <c r="AM20" s="108">
        <f>AL19*AY16</f>
        <v>0.31133533442120476</v>
      </c>
      <c r="AN20" s="120" t="s">
        <v>22</v>
      </c>
      <c r="AO20" s="121"/>
      <c r="AP20" s="104" t="s">
        <v>90</v>
      </c>
      <c r="AQ20" s="108" t="str">
        <f>IF(OR(G24="",G25=""),"",((PI()*AQ19^2)/4)*0.25)</f>
        <v/>
      </c>
      <c r="AR20" s="105"/>
      <c r="AS20" s="147"/>
      <c r="AT20" s="49"/>
      <c r="AU20" s="270"/>
      <c r="AV20" s="103" t="s">
        <v>94</v>
      </c>
      <c r="AW20" s="103" t="s">
        <v>90</v>
      </c>
      <c r="AX20" s="370">
        <f>AX18*AX19</f>
        <v>0.84341552572761769</v>
      </c>
      <c r="AY20" s="371"/>
      <c r="BA20" s="246"/>
      <c r="BB20" s="233" t="s">
        <v>125</v>
      </c>
      <c r="BC20" s="167" t="s">
        <v>128</v>
      </c>
      <c r="BD20" s="237">
        <f>G26/1000</f>
        <v>0</v>
      </c>
      <c r="BE20" s="238"/>
      <c r="BF20" s="50"/>
    </row>
    <row r="21" spans="1:70" ht="24.95" customHeight="1" thickBot="1" x14ac:dyDescent="0.3">
      <c r="A21" s="226" t="s">
        <v>20</v>
      </c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1"/>
      <c r="U21" s="21"/>
      <c r="V21" s="282"/>
      <c r="W21" s="262"/>
      <c r="X21" s="92" t="s">
        <v>66</v>
      </c>
      <c r="Y21" s="92" t="str">
        <f>IF(G25="","",AA9)</f>
        <v/>
      </c>
      <c r="Z21" s="93" t="str">
        <f>IF(G25="","",AO9)</f>
        <v/>
      </c>
      <c r="AA21" s="256"/>
      <c r="AB21" s="92" t="s">
        <v>47</v>
      </c>
      <c r="AC21" s="93" t="str">
        <f>IF(OR(G24="",G25=""),"",Z21/2)</f>
        <v/>
      </c>
      <c r="AD21" s="259"/>
      <c r="AE21" s="92" t="s">
        <v>47</v>
      </c>
      <c r="AF21" s="94" t="str">
        <f>IF(OR(G24="",G25=""),"",AF17-AC21)</f>
        <v/>
      </c>
      <c r="AG21" s="95" t="str">
        <f>IF(OR(G24="",G25=""),"",AG19+AC21)</f>
        <v/>
      </c>
      <c r="AH21" s="30"/>
      <c r="AI21" s="148" t="s">
        <v>107</v>
      </c>
      <c r="AJ21" s="149"/>
      <c r="AK21" s="150" t="s">
        <v>91</v>
      </c>
      <c r="AL21" s="151">
        <f>AL20*AX17</f>
        <v>0.77833833605301184</v>
      </c>
      <c r="AM21" s="152">
        <f>AM20*AX17</f>
        <v>0.77833833605301184</v>
      </c>
      <c r="AN21" s="148" t="s">
        <v>107</v>
      </c>
      <c r="AO21" s="149"/>
      <c r="AP21" s="150" t="s">
        <v>91</v>
      </c>
      <c r="AQ21" s="152" t="str">
        <f>IF(OR(G24="",G25=""),"0",AQ20*AX17)</f>
        <v>0</v>
      </c>
      <c r="AR21" s="153">
        <f>AL21+AQ21</f>
        <v>0.77833833605301184</v>
      </c>
      <c r="AS21" s="154">
        <f>AM21+AQ21</f>
        <v>0.77833833605301184</v>
      </c>
      <c r="AT21" s="49"/>
      <c r="AU21" s="367"/>
      <c r="AV21" s="115" t="s">
        <v>37</v>
      </c>
      <c r="AW21" s="115" t="s">
        <v>91</v>
      </c>
      <c r="AX21" s="265">
        <f>AX20*AX17</f>
        <v>2.1085388143190444</v>
      </c>
      <c r="AY21" s="266"/>
      <c r="BA21" s="171"/>
      <c r="BB21" s="233"/>
      <c r="BC21" s="167" t="s">
        <v>129</v>
      </c>
      <c r="BD21" s="237" t="str">
        <f>IF(BD20&gt;0.5,100/(100/BD20*0.5*0.6),"2")</f>
        <v>2</v>
      </c>
      <c r="BE21" s="238"/>
      <c r="BF21" s="50"/>
    </row>
    <row r="22" spans="1:70" ht="24.95" customHeight="1" thickTop="1" x14ac:dyDescent="0.25">
      <c r="A22" s="12"/>
      <c r="B22" s="13"/>
      <c r="C22" s="14"/>
      <c r="D22" s="328" t="s">
        <v>23</v>
      </c>
      <c r="E22" s="328"/>
      <c r="F22" s="328"/>
      <c r="G22" s="324" t="s">
        <v>7</v>
      </c>
      <c r="H22" s="324"/>
      <c r="I22" s="300" t="s">
        <v>26</v>
      </c>
      <c r="J22" s="301"/>
      <c r="K22" s="302" t="s">
        <v>27</v>
      </c>
      <c r="L22" s="303"/>
      <c r="M22" s="293" t="s">
        <v>28</v>
      </c>
      <c r="N22" s="294"/>
      <c r="O22" s="294"/>
      <c r="P22" s="294"/>
      <c r="Q22" s="294"/>
      <c r="R22" s="294"/>
      <c r="S22" s="295"/>
      <c r="T22" s="299" t="s">
        <v>29</v>
      </c>
      <c r="U22" s="39"/>
      <c r="V22" s="280" t="s">
        <v>43</v>
      </c>
      <c r="W22" s="283" t="s">
        <v>67</v>
      </c>
      <c r="X22" s="96" t="s">
        <v>68</v>
      </c>
      <c r="Y22" s="96" t="str">
        <f>IF(G26="","",W10)</f>
        <v/>
      </c>
      <c r="Z22" s="97"/>
      <c r="AA22" s="254" t="s">
        <v>69</v>
      </c>
      <c r="AB22" s="96" t="s">
        <v>70</v>
      </c>
      <c r="AC22" s="97"/>
      <c r="AD22" s="257" t="s">
        <v>71</v>
      </c>
      <c r="AE22" s="96" t="s">
        <v>70</v>
      </c>
      <c r="AF22" s="98"/>
      <c r="AG22" s="99" t="str">
        <f>IF(G26="","",I26)</f>
        <v/>
      </c>
      <c r="AI22" s="143" t="s">
        <v>106</v>
      </c>
      <c r="AJ22" s="144"/>
      <c r="AK22" s="114" t="s">
        <v>83</v>
      </c>
      <c r="AL22" s="362">
        <f>IF(Y22="",VLOOKUP("gr",Schildmaße,3,FALSE),VLOOKUP(Y22,Schildmaße,3,FALSE))</f>
        <v>0.24906826753696379</v>
      </c>
      <c r="AM22" s="363"/>
      <c r="AN22" s="143" t="s">
        <v>111</v>
      </c>
      <c r="AO22" s="144"/>
      <c r="AP22" s="114" t="s">
        <v>75</v>
      </c>
      <c r="AQ22" s="158" t="str">
        <f>IF(OR(G24="",G25="",G26=""),"",G26/1000)</f>
        <v/>
      </c>
      <c r="AR22" s="145"/>
      <c r="AS22" s="146"/>
      <c r="AU22" s="269" t="s">
        <v>41</v>
      </c>
      <c r="AV22" s="109" t="s">
        <v>95</v>
      </c>
      <c r="AW22" s="109" t="s">
        <v>83</v>
      </c>
      <c r="AX22" s="278">
        <f>PI()*AX14^2</f>
        <v>4.1547562843725006</v>
      </c>
      <c r="AY22" s="279"/>
      <c r="BA22" s="171"/>
      <c r="BB22" s="233"/>
      <c r="BC22" s="167" t="s">
        <v>90</v>
      </c>
      <c r="BD22" s="239">
        <f>(PI()*((G26/2/1000)^2))*(AX11*0.4)/BD21</f>
        <v>0</v>
      </c>
      <c r="BE22" s="240"/>
      <c r="BF22" s="50"/>
    </row>
    <row r="23" spans="1:70" ht="24.95" customHeight="1" x14ac:dyDescent="0.25">
      <c r="A23" s="15"/>
      <c r="B23" s="16"/>
      <c r="C23" s="17"/>
      <c r="D23" s="328"/>
      <c r="E23" s="328"/>
      <c r="F23" s="328"/>
      <c r="G23" s="324" t="s">
        <v>8</v>
      </c>
      <c r="H23" s="324"/>
      <c r="I23" s="324" t="s">
        <v>32</v>
      </c>
      <c r="J23" s="324"/>
      <c r="K23" s="300" t="s">
        <v>8</v>
      </c>
      <c r="L23" s="305"/>
      <c r="M23" s="296"/>
      <c r="N23" s="297"/>
      <c r="O23" s="297"/>
      <c r="P23" s="297"/>
      <c r="Q23" s="297"/>
      <c r="R23" s="297"/>
      <c r="S23" s="298"/>
      <c r="T23" s="299"/>
      <c r="U23" s="39"/>
      <c r="V23" s="281"/>
      <c r="W23" s="261"/>
      <c r="X23" s="34" t="s">
        <v>63</v>
      </c>
      <c r="Y23" s="34" t="str">
        <f>IF(OR(G25="",G26=""),"",X10)</f>
        <v/>
      </c>
      <c r="Z23" s="35" t="str">
        <f>IF(OR(G24="",G25="",G26=""),"",AN10)</f>
        <v/>
      </c>
      <c r="AA23" s="255"/>
      <c r="AB23" s="34" t="s">
        <v>46</v>
      </c>
      <c r="AC23" s="36" t="str">
        <f>IF(OR(G24="",G25="",G26=""),"",Z23/2)</f>
        <v/>
      </c>
      <c r="AD23" s="258"/>
      <c r="AE23" s="34" t="s">
        <v>46</v>
      </c>
      <c r="AF23" s="38" t="str">
        <f>IF(OR(G24="",G25="",G26=""),"",AG21+AC23)</f>
        <v/>
      </c>
      <c r="AG23" s="91" t="str">
        <f>IF(OR(G24="",G25="",G26=""),"",AG22-AC23)</f>
        <v/>
      </c>
      <c r="AI23" s="120" t="s">
        <v>22</v>
      </c>
      <c r="AJ23" s="121"/>
      <c r="AK23" s="104" t="s">
        <v>90</v>
      </c>
      <c r="AL23" s="107">
        <f>AL22*AX16</f>
        <v>0.31133533442120476</v>
      </c>
      <c r="AM23" s="108">
        <f>AY16*AL22</f>
        <v>0.31133533442120476</v>
      </c>
      <c r="AN23" s="120" t="s">
        <v>22</v>
      </c>
      <c r="AO23" s="121"/>
      <c r="AP23" s="104" t="s">
        <v>90</v>
      </c>
      <c r="AQ23" s="108" t="str">
        <f>IF(OR(G24="",G25="",G26=""),"",((PI()*AQ22^2)/4)*0.25)</f>
        <v/>
      </c>
      <c r="AR23" s="105"/>
      <c r="AS23" s="147"/>
      <c r="AU23" s="270"/>
      <c r="AV23" s="103" t="s">
        <v>96</v>
      </c>
      <c r="AW23" s="103" t="s">
        <v>83</v>
      </c>
      <c r="AX23" s="267">
        <f>PI()*AX15^2</f>
        <v>1.7671458676442586</v>
      </c>
      <c r="AY23" s="268"/>
      <c r="BA23" s="171"/>
      <c r="BB23" s="233" t="s">
        <v>126</v>
      </c>
      <c r="BC23" s="167" t="s">
        <v>128</v>
      </c>
      <c r="BD23" s="237">
        <f>G27/1000</f>
        <v>0</v>
      </c>
      <c r="BE23" s="238"/>
      <c r="BF23" s="50"/>
    </row>
    <row r="24" spans="1:70" ht="24.95" customHeight="1" thickBot="1" x14ac:dyDescent="0.3">
      <c r="A24" s="374" t="s">
        <v>36</v>
      </c>
      <c r="B24" s="374"/>
      <c r="C24" s="374"/>
      <c r="D24" s="289"/>
      <c r="E24" s="289"/>
      <c r="F24" s="289"/>
      <c r="G24" s="290"/>
      <c r="H24" s="290"/>
      <c r="I24" s="326">
        <v>0</v>
      </c>
      <c r="J24" s="327"/>
      <c r="K24" s="319"/>
      <c r="L24" s="320"/>
      <c r="M24" s="286" t="s">
        <v>51</v>
      </c>
      <c r="N24" s="287"/>
      <c r="O24" s="287"/>
      <c r="P24" s="287"/>
      <c r="Q24" s="287"/>
      <c r="R24" s="287"/>
      <c r="S24" s="288"/>
      <c r="T24" s="31">
        <f>G24+K24</f>
        <v>0</v>
      </c>
      <c r="U24" s="39"/>
      <c r="V24" s="282"/>
      <c r="W24" s="262"/>
      <c r="X24" s="92" t="s">
        <v>66</v>
      </c>
      <c r="Y24" s="92" t="str">
        <f>IF(OR(G25="",G26=""),"",AA10)</f>
        <v/>
      </c>
      <c r="Z24" s="93" t="str">
        <f>IF(OR(G25="",G26=""),"",AO10)</f>
        <v/>
      </c>
      <c r="AA24" s="256"/>
      <c r="AB24" s="92" t="s">
        <v>47</v>
      </c>
      <c r="AC24" s="93" t="str">
        <f>IF(OR(G24="",G25="",G26=""),"",Z24/2)</f>
        <v/>
      </c>
      <c r="AD24" s="259"/>
      <c r="AE24" s="92" t="s">
        <v>47</v>
      </c>
      <c r="AF24" s="94" t="str">
        <f>IF(OR(G24="",G25="",G26=""),"",AF17-AC24)</f>
        <v/>
      </c>
      <c r="AG24" s="95" t="str">
        <f>IF(OR(G24="",G25="",G26=""),"",AG22+AC24)</f>
        <v/>
      </c>
      <c r="AI24" s="148" t="s">
        <v>107</v>
      </c>
      <c r="AJ24" s="149"/>
      <c r="AK24" s="150" t="s">
        <v>91</v>
      </c>
      <c r="AL24" s="151">
        <f>AL23*AX17</f>
        <v>0.77833833605301184</v>
      </c>
      <c r="AM24" s="152">
        <f>AM23*AX17</f>
        <v>0.77833833605301184</v>
      </c>
      <c r="AN24" s="148" t="s">
        <v>107</v>
      </c>
      <c r="AO24" s="149"/>
      <c r="AP24" s="150" t="s">
        <v>91</v>
      </c>
      <c r="AQ24" s="152" t="str">
        <f>IF(OR(G24="",G25="",G26=""),"0",AQ23*AX17)</f>
        <v>0</v>
      </c>
      <c r="AR24" s="153">
        <f>AL24+AQ24</f>
        <v>0.77833833605301184</v>
      </c>
      <c r="AS24" s="154">
        <f>AM24+AQ24</f>
        <v>0.77833833605301184</v>
      </c>
      <c r="AU24" s="270"/>
      <c r="AV24" s="104" t="s">
        <v>98</v>
      </c>
      <c r="AW24" s="104" t="s">
        <v>83</v>
      </c>
      <c r="AX24" s="267">
        <f>AX22-AX23</f>
        <v>2.3876104167282417</v>
      </c>
      <c r="AY24" s="268"/>
      <c r="BA24" s="171"/>
      <c r="BB24" s="233"/>
      <c r="BC24" s="167" t="s">
        <v>129</v>
      </c>
      <c r="BD24" s="237" t="str">
        <f>IF(BD23&gt;0.5,100/(100/BD23*0.5*0.6),"2")</f>
        <v>2</v>
      </c>
      <c r="BE24" s="238"/>
      <c r="BF24" s="50"/>
    </row>
    <row r="25" spans="1:70" ht="24.95" customHeight="1" thickTop="1" x14ac:dyDescent="0.25">
      <c r="A25" s="323" t="s">
        <v>39</v>
      </c>
      <c r="B25" s="323"/>
      <c r="C25" s="323"/>
      <c r="D25" s="321"/>
      <c r="E25" s="325"/>
      <c r="F25" s="322"/>
      <c r="G25" s="290"/>
      <c r="H25" s="290"/>
      <c r="I25" s="291"/>
      <c r="J25" s="292"/>
      <c r="K25" s="321"/>
      <c r="L25" s="322"/>
      <c r="M25" s="286" t="str">
        <f>IF(AF20&gt;AF21,"Zulauf 1 technisch nicht ausführbar.",IF(OR(G24="",G25=""),"","Die mögliche Zulaufposition liegt zwischen "&amp;AF20&amp;" und "&amp;AF21&amp;" gon."))</f>
        <v/>
      </c>
      <c r="N25" s="287"/>
      <c r="O25" s="287"/>
      <c r="P25" s="287"/>
      <c r="Q25" s="287"/>
      <c r="R25" s="287"/>
      <c r="S25" s="288"/>
      <c r="T25" s="31">
        <f>G25+K25</f>
        <v>0</v>
      </c>
      <c r="U25" s="39"/>
      <c r="V25" s="280" t="s">
        <v>45</v>
      </c>
      <c r="W25" s="283" t="s">
        <v>67</v>
      </c>
      <c r="X25" s="96" t="s">
        <v>68</v>
      </c>
      <c r="Y25" s="96" t="str">
        <f>IF(G27="","",W11)</f>
        <v/>
      </c>
      <c r="Z25" s="97"/>
      <c r="AA25" s="254" t="s">
        <v>69</v>
      </c>
      <c r="AB25" s="96" t="s">
        <v>70</v>
      </c>
      <c r="AC25" s="97"/>
      <c r="AD25" s="257" t="s">
        <v>71</v>
      </c>
      <c r="AE25" s="96" t="s">
        <v>70</v>
      </c>
      <c r="AF25" s="98"/>
      <c r="AG25" s="99" t="str">
        <f>IF(G27="","",I27)</f>
        <v/>
      </c>
      <c r="AI25" s="126" t="s">
        <v>106</v>
      </c>
      <c r="AJ25" s="127"/>
      <c r="AK25" s="59" t="s">
        <v>83</v>
      </c>
      <c r="AL25" s="364" t="str">
        <f>IF(Y25="","",VLOOKUP(Y25,Schildmaße,3,FALSE))</f>
        <v/>
      </c>
      <c r="AM25" s="365"/>
      <c r="AN25" s="126" t="s">
        <v>111</v>
      </c>
      <c r="AO25" s="127"/>
      <c r="AP25" s="59" t="s">
        <v>75</v>
      </c>
      <c r="AQ25" s="128" t="str">
        <f>IF(OR(G25="",G26="",G27=""),"",G27/1000)</f>
        <v/>
      </c>
      <c r="AR25" s="129"/>
      <c r="AS25" s="142"/>
      <c r="AU25" s="270"/>
      <c r="AV25" s="104" t="s">
        <v>99</v>
      </c>
      <c r="AW25" s="104"/>
      <c r="AX25" s="107">
        <f>AX16-AX19</f>
        <v>1.0469999999999999</v>
      </c>
      <c r="AY25" s="108">
        <f>AY16-AX19</f>
        <v>1.0469999999999999</v>
      </c>
      <c r="BA25" s="171"/>
      <c r="BB25" s="233"/>
      <c r="BC25" s="167" t="s">
        <v>90</v>
      </c>
      <c r="BD25" s="239">
        <f>(PI()*((G27/2/1000)^2))*(AX11*0.4)/BD24</f>
        <v>0</v>
      </c>
      <c r="BE25" s="240"/>
    </row>
    <row r="26" spans="1:70" ht="24.95" customHeight="1" x14ac:dyDescent="0.25">
      <c r="A26" s="323" t="s">
        <v>43</v>
      </c>
      <c r="B26" s="323"/>
      <c r="C26" s="323"/>
      <c r="D26" s="289"/>
      <c r="E26" s="289"/>
      <c r="F26" s="289"/>
      <c r="G26" s="290"/>
      <c r="H26" s="290"/>
      <c r="I26" s="291"/>
      <c r="J26" s="292"/>
      <c r="K26" s="321"/>
      <c r="L26" s="322"/>
      <c r="M26" s="286" t="str">
        <f>IF(AF23&gt;AF24,"Zulauf 2 technisch nicht ausführbar.",IF(OR(G24="",G25="",G26="",I25=""),"","Die mögliche Zulaufposition liegt zwischen "&amp;AF23&amp;" und "&amp;AF24&amp;" gon."))</f>
        <v/>
      </c>
      <c r="N26" s="287"/>
      <c r="O26" s="287"/>
      <c r="P26" s="287"/>
      <c r="Q26" s="287"/>
      <c r="R26" s="287"/>
      <c r="S26" s="288"/>
      <c r="T26" s="31">
        <f>G26+K26</f>
        <v>0</v>
      </c>
      <c r="U26" s="39"/>
      <c r="V26" s="281"/>
      <c r="W26" s="261"/>
      <c r="X26" s="34" t="s">
        <v>63</v>
      </c>
      <c r="Y26" s="34" t="str">
        <f>IF(G27="","",X11)</f>
        <v/>
      </c>
      <c r="Z26" s="35" t="str">
        <f>IF(OR(G24="",G25="",G26="",G27=""),"",AN11)</f>
        <v/>
      </c>
      <c r="AA26" s="255"/>
      <c r="AB26" s="34" t="s">
        <v>46</v>
      </c>
      <c r="AC26" s="36" t="str">
        <f>IF(OR(G24="",G25="",G26="",G27=""),"",Z26/2)</f>
        <v/>
      </c>
      <c r="AD26" s="258"/>
      <c r="AE26" s="34" t="s">
        <v>46</v>
      </c>
      <c r="AF26" s="38" t="str">
        <f>IF(OR(G24="",G25="",G26="",G27=""),"",AG24+AC26)</f>
        <v/>
      </c>
      <c r="AG26" s="91" t="str">
        <f>IF(OR(G24="",G25="",G26="",G27=""),"",AG25-AC26)</f>
        <v/>
      </c>
      <c r="AI26" s="130" t="s">
        <v>22</v>
      </c>
      <c r="AJ26" s="131"/>
      <c r="AK26" s="58" t="s">
        <v>90</v>
      </c>
      <c r="AL26" s="132" t="str">
        <f>IF(OR(G24="",G25="",G26="",G27=""),"",AL25*AX16)</f>
        <v/>
      </c>
      <c r="AM26" s="133" t="str">
        <f>IF(OR(G24="",G25="",G26="",G27=""),"",AL25*AY16)</f>
        <v/>
      </c>
      <c r="AN26" s="130" t="s">
        <v>22</v>
      </c>
      <c r="AO26" s="131"/>
      <c r="AP26" s="58" t="s">
        <v>90</v>
      </c>
      <c r="AQ26" s="133" t="str">
        <f>IF(OR(G24="",G25="",G26="",G27=""),"",((PI()*AQ25^2)/4)*0.25)</f>
        <v/>
      </c>
      <c r="AR26" s="138"/>
      <c r="AS26" s="139"/>
      <c r="AU26" s="270"/>
      <c r="AV26" s="103" t="s">
        <v>93</v>
      </c>
      <c r="AW26" s="103" t="s">
        <v>90</v>
      </c>
      <c r="AX26" s="107">
        <f>AX25*AX24</f>
        <v>2.4998281063144687</v>
      </c>
      <c r="AY26" s="108">
        <f>AY25*AX24</f>
        <v>2.4998281063144687</v>
      </c>
      <c r="BA26" s="172"/>
      <c r="BB26" s="167" t="s">
        <v>127</v>
      </c>
      <c r="BC26" s="167" t="s">
        <v>90</v>
      </c>
      <c r="BD26" s="241">
        <f>BD16+BD19+BD22+BD25</f>
        <v>0</v>
      </c>
      <c r="BE26" s="242"/>
    </row>
    <row r="27" spans="1:70" ht="24.95" customHeight="1" thickBot="1" x14ac:dyDescent="0.3">
      <c r="A27" s="323" t="s">
        <v>45</v>
      </c>
      <c r="B27" s="323"/>
      <c r="C27" s="323"/>
      <c r="D27" s="289"/>
      <c r="E27" s="289"/>
      <c r="F27" s="289"/>
      <c r="G27" s="290"/>
      <c r="H27" s="290"/>
      <c r="I27" s="291"/>
      <c r="J27" s="292"/>
      <c r="K27" s="321"/>
      <c r="L27" s="322"/>
      <c r="M27" s="286" t="str">
        <f>IF(AF26&gt;AF27,"Zulauf 3 technisch nicht ausführbar.",IF(OR(G24="",G25="",G26="",G27="",I25="",I26=""),"","Die mögliche Zulaufposition liegt zwischen "&amp;AF26&amp;" und "&amp;AF27&amp;" gon."))</f>
        <v/>
      </c>
      <c r="N27" s="287"/>
      <c r="O27" s="287"/>
      <c r="P27" s="287"/>
      <c r="Q27" s="287"/>
      <c r="R27" s="287"/>
      <c r="S27" s="288"/>
      <c r="T27" s="31">
        <f>G27+K27</f>
        <v>0</v>
      </c>
      <c r="U27" s="39"/>
      <c r="V27" s="282"/>
      <c r="W27" s="262"/>
      <c r="X27" s="92" t="s">
        <v>66</v>
      </c>
      <c r="Y27" s="92" t="str">
        <f>IF(G27="","",AA11)</f>
        <v/>
      </c>
      <c r="Z27" s="93" t="str">
        <f>IF(G27="","",AO11)</f>
        <v/>
      </c>
      <c r="AA27" s="256"/>
      <c r="AB27" s="92" t="s">
        <v>47</v>
      </c>
      <c r="AC27" s="93" t="str">
        <f>IF(OR(G24="",G25="",G26="",G27=""),"",Z27/2)</f>
        <v/>
      </c>
      <c r="AD27" s="259"/>
      <c r="AE27" s="92" t="s">
        <v>47</v>
      </c>
      <c r="AF27" s="94" t="str">
        <f>IF(OR(G24="",G25="",G26="",G27=""),"",AF17-AC27)</f>
        <v/>
      </c>
      <c r="AG27" s="95" t="str">
        <f>IF(OR(G24="",G25="",G26="",G27=""),"",AG25+AC27)</f>
        <v/>
      </c>
      <c r="AI27" s="134" t="s">
        <v>107</v>
      </c>
      <c r="AJ27" s="135"/>
      <c r="AK27" s="77" t="s">
        <v>91</v>
      </c>
      <c r="AL27" s="136" t="str">
        <f>IF(OR(G24="",G25="",G26="",G27=""),"",AL26*AX17)</f>
        <v/>
      </c>
      <c r="AM27" s="137" t="str">
        <f>IF(OR(G24="",G25="",G26="",G27=""),"",AM26*AX17)</f>
        <v/>
      </c>
      <c r="AN27" s="134" t="s">
        <v>107</v>
      </c>
      <c r="AO27" s="135"/>
      <c r="AP27" s="77" t="s">
        <v>91</v>
      </c>
      <c r="AQ27" s="137" t="str">
        <f>IF(OR(G24="",G25="",G26="",G27=""),"",AQ26*AX17)</f>
        <v/>
      </c>
      <c r="AR27" s="140" t="str">
        <f>IF(OR(G24="",G25="",G26="",G27=""),"",AL27+AQ27)</f>
        <v/>
      </c>
      <c r="AS27" s="141" t="str">
        <f>IF(OR(G24="",G25="",G26="",G27=""),"",AM27+AQ27)</f>
        <v/>
      </c>
      <c r="AU27" s="271"/>
      <c r="AV27" s="110" t="s">
        <v>100</v>
      </c>
      <c r="AW27" s="110" t="s">
        <v>91</v>
      </c>
      <c r="AX27" s="111">
        <f>AX26*AX17</f>
        <v>6.249570265786172</v>
      </c>
      <c r="AY27" s="112">
        <f>AY26*AX17</f>
        <v>6.249570265786172</v>
      </c>
      <c r="BA27" s="171"/>
      <c r="BB27" s="167" t="s">
        <v>127</v>
      </c>
      <c r="BC27" s="167" t="s">
        <v>91</v>
      </c>
      <c r="BD27" s="241">
        <f>BD26*AX17</f>
        <v>0</v>
      </c>
      <c r="BE27" s="242"/>
    </row>
    <row r="28" spans="1:70" ht="12" customHeight="1" thickTop="1" thickBot="1" x14ac:dyDescent="0.3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3"/>
      <c r="N28" s="23"/>
      <c r="O28" s="21"/>
      <c r="P28" s="23"/>
      <c r="Q28" s="23"/>
      <c r="R28" s="21"/>
      <c r="S28" s="21"/>
      <c r="T28" s="21"/>
      <c r="U28" s="21"/>
      <c r="AN28" s="360" t="s">
        <v>115</v>
      </c>
      <c r="AO28" s="361"/>
      <c r="AP28" s="361"/>
      <c r="AQ28" s="361"/>
      <c r="AR28" s="155">
        <f>SUM(AR18:AR27)</f>
        <v>2.3350150081590355</v>
      </c>
      <c r="AS28" s="156">
        <f>SUM(AS18:AS27)</f>
        <v>2.3350150081590355</v>
      </c>
      <c r="AT28" s="101"/>
      <c r="BA28" s="173"/>
      <c r="BB28" s="168" t="s">
        <v>119</v>
      </c>
      <c r="BC28" s="168" t="s">
        <v>91</v>
      </c>
      <c r="BD28" s="243">
        <f>IF(BD13-BD27&lt;0.5,0.5,BD13-BD27)</f>
        <v>0.5</v>
      </c>
      <c r="BE28" s="244"/>
    </row>
    <row r="29" spans="1:70" s="190" customFormat="1" ht="24.95" customHeight="1" thickTop="1" thickBot="1" x14ac:dyDescent="0.3">
      <c r="A29" s="226" t="s">
        <v>145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V29" s="1"/>
      <c r="W29" s="1"/>
      <c r="X29" s="2"/>
      <c r="Y29" s="2"/>
      <c r="Z29" s="2"/>
      <c r="AA29" s="2"/>
      <c r="AB29" s="1"/>
      <c r="AC29" s="1"/>
      <c r="AD29" s="1"/>
      <c r="AE29" s="1"/>
      <c r="AF29" s="3"/>
      <c r="AG29" s="4"/>
      <c r="AH29" s="4"/>
      <c r="AI29" s="4"/>
      <c r="AJ29" s="1"/>
      <c r="AK29" s="2"/>
      <c r="AL29" s="2"/>
      <c r="AM29" s="1"/>
      <c r="AN29" s="101"/>
      <c r="AO29" s="157"/>
      <c r="AP29" s="101"/>
      <c r="AQ29" s="101"/>
      <c r="AR29" s="102"/>
      <c r="AS29" s="101"/>
      <c r="AT29" s="10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50"/>
    </row>
    <row r="30" spans="1:70" s="190" customFormat="1" ht="30" customHeight="1" thickTop="1" x14ac:dyDescent="0.25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23"/>
      <c r="N30" s="23"/>
      <c r="O30" s="13"/>
      <c r="P30" s="23"/>
      <c r="Q30" s="23"/>
      <c r="R30" s="13"/>
      <c r="S30" s="14"/>
      <c r="V30" s="1"/>
      <c r="W30" s="1"/>
      <c r="X30" s="2"/>
      <c r="Y30" s="2"/>
      <c r="Z30" s="2"/>
      <c r="AA30" s="2"/>
      <c r="AB30" s="1"/>
      <c r="AC30" s="1"/>
      <c r="AD30" s="1"/>
      <c r="AE30" s="1"/>
      <c r="AF30" s="3"/>
      <c r="AG30" s="4"/>
      <c r="AH30" s="4"/>
      <c r="AI30" s="4"/>
      <c r="AJ30" s="1"/>
      <c r="AK30" s="2"/>
      <c r="AL30" s="2"/>
      <c r="AM30" s="1"/>
      <c r="AN30" s="1"/>
      <c r="AO30" s="5"/>
      <c r="AP30" s="1"/>
      <c r="AQ30" s="1"/>
      <c r="AR30" s="1"/>
      <c r="AS30" s="1"/>
      <c r="AT30" s="101"/>
      <c r="AU30" s="1"/>
      <c r="AV30" s="1"/>
      <c r="AW30" s="1"/>
      <c r="AX30" s="1"/>
      <c r="AY30" s="1"/>
      <c r="AZ30" s="1"/>
      <c r="BA30" s="175" t="s">
        <v>131</v>
      </c>
      <c r="BB30" s="176"/>
      <c r="BC30" s="176"/>
      <c r="BD30" s="176" t="s">
        <v>21</v>
      </c>
      <c r="BE30" s="177" t="s">
        <v>78</v>
      </c>
    </row>
    <row r="31" spans="1:70" ht="30" customHeight="1" x14ac:dyDescent="0.25">
      <c r="A31" s="198"/>
      <c r="B31" s="190"/>
      <c r="C31" s="190"/>
      <c r="D31" s="190"/>
      <c r="E31" s="18"/>
      <c r="F31" s="190"/>
      <c r="G31" s="190"/>
      <c r="H31" s="190"/>
      <c r="I31" s="190"/>
      <c r="J31" s="24"/>
      <c r="K31" s="24"/>
      <c r="L31" s="190"/>
      <c r="M31" s="190"/>
      <c r="N31" s="190"/>
      <c r="O31" s="190"/>
      <c r="P31" s="190"/>
      <c r="Q31" s="190"/>
      <c r="R31" s="190"/>
      <c r="S31" s="199"/>
      <c r="T31" s="21"/>
      <c r="BA31" s="178" t="s">
        <v>30</v>
      </c>
      <c r="BB31" s="174"/>
      <c r="BC31" s="174" t="s">
        <v>91</v>
      </c>
      <c r="BD31" s="231">
        <f>AX21</f>
        <v>2.1085388143190444</v>
      </c>
      <c r="BE31" s="232"/>
    </row>
    <row r="32" spans="1:70" ht="30" customHeight="1" x14ac:dyDescent="0.25">
      <c r="A32" s="198"/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9"/>
      <c r="T32" s="21"/>
      <c r="BA32" s="178" t="s">
        <v>133</v>
      </c>
      <c r="BB32" s="174"/>
      <c r="BC32" s="174" t="s">
        <v>91</v>
      </c>
      <c r="BD32" s="179">
        <f>AX27</f>
        <v>6.249570265786172</v>
      </c>
      <c r="BE32" s="180">
        <f>AY27</f>
        <v>6.249570265786172</v>
      </c>
    </row>
    <row r="33" spans="1:58" ht="30" customHeight="1" x14ac:dyDescent="0.25">
      <c r="A33" s="198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9"/>
      <c r="T33" s="21"/>
      <c r="BA33" s="178" t="s">
        <v>119</v>
      </c>
      <c r="BB33" s="174"/>
      <c r="BC33" s="174" t="s">
        <v>91</v>
      </c>
      <c r="BD33" s="231">
        <f>BD28</f>
        <v>0.5</v>
      </c>
      <c r="BE33" s="232"/>
    </row>
    <row r="34" spans="1:58" ht="30" customHeight="1" x14ac:dyDescent="0.25">
      <c r="A34" s="198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9"/>
      <c r="T34" s="21"/>
      <c r="BA34" s="178" t="s">
        <v>132</v>
      </c>
      <c r="BB34" s="174"/>
      <c r="BC34" s="174" t="s">
        <v>91</v>
      </c>
      <c r="BD34" s="174">
        <f>AR28*(-1)</f>
        <v>-2.3350150081590355</v>
      </c>
      <c r="BE34" s="181">
        <f>AS28*(-1)</f>
        <v>-2.3350150081590355</v>
      </c>
      <c r="BF34" s="11"/>
    </row>
    <row r="35" spans="1:58" ht="30" customHeight="1" x14ac:dyDescent="0.25">
      <c r="A35" s="198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9"/>
      <c r="T35" s="21"/>
      <c r="BA35" s="192" t="s">
        <v>81</v>
      </c>
      <c r="BB35" s="193"/>
      <c r="BC35" s="194" t="s">
        <v>91</v>
      </c>
      <c r="BD35" s="195">
        <f>BD31+BD32+BD33+BD34</f>
        <v>6.5230940719461801</v>
      </c>
      <c r="BE35" s="196">
        <f>BD31+BE32+BD33+BE34</f>
        <v>6.5230940719461801</v>
      </c>
      <c r="BF35" s="11"/>
    </row>
    <row r="36" spans="1:58" s="190" customFormat="1" ht="30" customHeight="1" x14ac:dyDescent="0.25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7"/>
      <c r="V36" s="1"/>
      <c r="W36" s="1"/>
      <c r="X36" s="2"/>
      <c r="Y36" s="2"/>
      <c r="Z36" s="2"/>
      <c r="AA36" s="2"/>
      <c r="AF36" s="3"/>
      <c r="AG36" s="4"/>
      <c r="AH36" s="4"/>
      <c r="AI36" s="4"/>
      <c r="AK36" s="2"/>
      <c r="AL36" s="2"/>
      <c r="AO36" s="5"/>
      <c r="BA36" s="197" t="s">
        <v>140</v>
      </c>
      <c r="BB36" s="191"/>
      <c r="BC36" s="191"/>
      <c r="BD36" s="356">
        <v>0.15</v>
      </c>
      <c r="BE36" s="357"/>
      <c r="BF36" s="11"/>
    </row>
    <row r="37" spans="1:58" s="190" customFormat="1" ht="12" customHeight="1" thickBot="1" x14ac:dyDescent="0.3">
      <c r="V37" s="1"/>
      <c r="W37" s="1"/>
      <c r="X37" s="2"/>
      <c r="Y37" s="2"/>
      <c r="Z37" s="2"/>
      <c r="AA37" s="2"/>
      <c r="AF37" s="3"/>
      <c r="AG37" s="4"/>
      <c r="AH37" s="4"/>
      <c r="AI37" s="4"/>
      <c r="AK37" s="2"/>
      <c r="AL37" s="2"/>
      <c r="AO37" s="5"/>
      <c r="BA37" s="182" t="s">
        <v>141</v>
      </c>
      <c r="BB37" s="183"/>
      <c r="BC37" s="183" t="s">
        <v>91</v>
      </c>
      <c r="BD37" s="184">
        <f>BD35+BD36</f>
        <v>6.6730940719461804</v>
      </c>
      <c r="BE37" s="185">
        <f>BE35+BD36</f>
        <v>6.6730940719461804</v>
      </c>
      <c r="BF37" s="11"/>
    </row>
    <row r="38" spans="1:58" s="190" customFormat="1" ht="24.95" customHeight="1" thickTop="1" x14ac:dyDescent="0.25">
      <c r="A38" s="226" t="s">
        <v>144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BF38" s="50"/>
    </row>
    <row r="39" spans="1:58" ht="37.5" customHeight="1" x14ac:dyDescent="0.25">
      <c r="A39" s="227" t="s">
        <v>143</v>
      </c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9"/>
      <c r="T39" s="21"/>
      <c r="X39" s="1"/>
      <c r="Y39" s="1"/>
      <c r="Z39" s="1"/>
      <c r="AA39" s="1"/>
      <c r="AF39" s="1"/>
      <c r="AG39" s="1"/>
      <c r="AH39" s="1"/>
      <c r="AI39" s="1"/>
      <c r="AK39" s="1"/>
      <c r="AL39" s="1"/>
      <c r="AO39" s="1"/>
      <c r="BF39" s="11"/>
    </row>
    <row r="40" spans="1:58" ht="24.95" customHeight="1" x14ac:dyDescent="0.25">
      <c r="A40" s="218" t="s">
        <v>50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20"/>
      <c r="T40" s="21"/>
      <c r="X40" s="1"/>
      <c r="Y40" s="1"/>
      <c r="Z40" s="1"/>
      <c r="AA40" s="1"/>
      <c r="AF40" s="1"/>
      <c r="AG40" s="1"/>
      <c r="AH40" s="1"/>
      <c r="AI40" s="1"/>
      <c r="AK40" s="1"/>
      <c r="AL40" s="1"/>
      <c r="AO40" s="1"/>
      <c r="BF40" s="11"/>
    </row>
    <row r="41" spans="1:58" ht="24.95" customHeight="1" x14ac:dyDescent="0.25">
      <c r="A41" s="218" t="s">
        <v>147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20"/>
      <c r="T41" s="21"/>
      <c r="X41" s="1"/>
      <c r="Y41" s="1"/>
      <c r="Z41" s="1"/>
      <c r="AA41" s="1"/>
      <c r="AF41" s="1"/>
      <c r="AG41" s="1"/>
      <c r="AH41" s="1"/>
      <c r="AI41" s="1"/>
      <c r="AK41" s="1"/>
      <c r="AL41" s="1"/>
      <c r="AO41" s="1"/>
      <c r="BF41" s="11"/>
    </row>
    <row r="42" spans="1:58" ht="24.95" customHeight="1" x14ac:dyDescent="0.25">
      <c r="A42" s="221" t="s">
        <v>148</v>
      </c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3" t="s">
        <v>48</v>
      </c>
      <c r="O42" s="224"/>
      <c r="P42" s="224"/>
      <c r="Q42" s="224"/>
      <c r="R42" s="224"/>
      <c r="S42" s="225"/>
      <c r="T42" s="21"/>
      <c r="X42" s="1"/>
      <c r="Y42" s="1"/>
      <c r="Z42" s="1"/>
      <c r="AA42" s="1"/>
      <c r="AF42" s="1"/>
      <c r="AG42" s="1"/>
      <c r="AH42" s="1"/>
      <c r="AI42" s="1"/>
      <c r="AK42" s="1"/>
      <c r="AL42" s="1"/>
      <c r="AO42" s="1"/>
      <c r="BF42" s="11"/>
    </row>
    <row r="43" spans="1:58" ht="30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X43" s="1"/>
      <c r="Y43" s="1"/>
      <c r="Z43" s="1"/>
      <c r="AA43" s="1"/>
      <c r="AF43" s="1"/>
      <c r="AG43" s="1"/>
      <c r="AH43" s="1"/>
      <c r="AI43" s="1"/>
      <c r="AK43" s="1"/>
      <c r="AL43" s="1"/>
      <c r="AO43" s="1"/>
      <c r="BF43" s="11"/>
    </row>
    <row r="44" spans="1:58" ht="30" customHeight="1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X44" s="1"/>
      <c r="Y44" s="1"/>
      <c r="Z44" s="1"/>
      <c r="AA44" s="1"/>
      <c r="AF44" s="1"/>
      <c r="AG44" s="1"/>
      <c r="AH44" s="1"/>
      <c r="AI44" s="1"/>
      <c r="AK44" s="1"/>
      <c r="AL44" s="1"/>
      <c r="AO44" s="1"/>
      <c r="BF44" s="11"/>
    </row>
    <row r="45" spans="1:58" ht="24" customHeight="1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X45" s="1"/>
      <c r="Y45" s="1"/>
      <c r="Z45" s="1"/>
      <c r="AA45" s="1"/>
      <c r="AF45" s="1"/>
      <c r="AG45" s="1"/>
      <c r="AH45" s="1"/>
      <c r="AI45" s="1"/>
      <c r="AK45" s="1"/>
      <c r="AL45" s="1"/>
      <c r="AO45" s="1"/>
      <c r="BF45" s="11"/>
    </row>
    <row r="46" spans="1:58" ht="24" customHeight="1" x14ac:dyDescent="0.25">
      <c r="A46" s="19"/>
      <c r="AL46" s="1"/>
      <c r="AO46" s="1"/>
    </row>
    <row r="47" spans="1:58" ht="24" customHeight="1" x14ac:dyDescent="0.25">
      <c r="A47" s="21"/>
      <c r="AL47" s="1"/>
      <c r="AO47" s="1"/>
      <c r="BF47" s="50"/>
    </row>
    <row r="48" spans="1:58" ht="20.100000000000001" customHeight="1" x14ac:dyDescent="0.25">
      <c r="A48" s="21"/>
      <c r="AL48" s="1"/>
      <c r="AO48" s="1"/>
      <c r="BF48" s="50"/>
    </row>
    <row r="49" spans="1:58" ht="20.100000000000001" customHeight="1" x14ac:dyDescent="0.25">
      <c r="A49" s="21"/>
      <c r="AL49" s="1"/>
      <c r="AO49" s="1"/>
      <c r="BF49" s="50"/>
    </row>
    <row r="50" spans="1:58" ht="20.100000000000001" customHeight="1" x14ac:dyDescent="0.25">
      <c r="AL50" s="1"/>
      <c r="AO50" s="1"/>
      <c r="BF50" s="186"/>
    </row>
    <row r="51" spans="1:58" ht="20.100000000000001" customHeight="1" x14ac:dyDescent="0.25">
      <c r="AL51" s="1"/>
      <c r="AO51" s="1"/>
      <c r="BF51" s="186"/>
    </row>
    <row r="52" spans="1:58" ht="20.100000000000001" customHeight="1" x14ac:dyDescent="0.25">
      <c r="AL52" s="1"/>
      <c r="AO52" s="1"/>
      <c r="BF52" s="186"/>
    </row>
    <row r="53" spans="1:58" ht="20.100000000000001" customHeight="1" x14ac:dyDescent="0.25">
      <c r="AL53" s="1"/>
      <c r="AO53" s="1"/>
      <c r="BF53" s="186"/>
    </row>
    <row r="54" spans="1:58" ht="20.100000000000001" customHeight="1" x14ac:dyDescent="0.25">
      <c r="AL54" s="1"/>
      <c r="AO54" s="1"/>
      <c r="BF54" s="187"/>
    </row>
    <row r="55" spans="1:58" ht="20.100000000000001" customHeight="1" x14ac:dyDescent="0.25">
      <c r="AL55" s="1"/>
      <c r="AO55" s="1"/>
      <c r="BF55" s="187"/>
    </row>
    <row r="56" spans="1:58" ht="20.100000000000001" customHeight="1" x14ac:dyDescent="0.25">
      <c r="AL56" s="1"/>
      <c r="AO56" s="1"/>
      <c r="BF56" s="187"/>
    </row>
    <row r="57" spans="1:58" ht="20.100000000000001" customHeight="1" x14ac:dyDescent="0.25">
      <c r="AL57" s="1"/>
      <c r="AO57" s="1"/>
      <c r="BF57" s="187"/>
    </row>
    <row r="58" spans="1:58" ht="20.100000000000001" customHeight="1" x14ac:dyDescent="0.25">
      <c r="AL58" s="1"/>
      <c r="AO58" s="1"/>
      <c r="BF58" s="187"/>
    </row>
    <row r="59" spans="1:58" ht="20.100000000000001" customHeight="1" x14ac:dyDescent="0.25">
      <c r="AL59" s="1"/>
      <c r="AO59" s="1"/>
      <c r="BF59" s="187"/>
    </row>
    <row r="60" spans="1:58" ht="20.100000000000001" customHeight="1" x14ac:dyDescent="0.25">
      <c r="AL60" s="1"/>
      <c r="AO60" s="1"/>
      <c r="BF60" s="187"/>
    </row>
    <row r="61" spans="1:58" ht="20.100000000000001" customHeight="1" x14ac:dyDescent="0.25">
      <c r="AL61" s="1"/>
      <c r="AO61" s="1"/>
      <c r="BF61" s="187"/>
    </row>
    <row r="62" spans="1:58" ht="20.100000000000001" customHeight="1" x14ac:dyDescent="0.25">
      <c r="AL62" s="1"/>
      <c r="AO62" s="1"/>
      <c r="BF62" s="187"/>
    </row>
    <row r="63" spans="1:58" ht="20.100000000000001" customHeight="1" x14ac:dyDescent="0.25">
      <c r="AL63" s="1"/>
      <c r="AO63" s="1"/>
      <c r="BF63" s="187"/>
    </row>
    <row r="64" spans="1:58" ht="20.100000000000001" customHeight="1" x14ac:dyDescent="0.25">
      <c r="AL64" s="1"/>
      <c r="AO64" s="1"/>
      <c r="BF64" s="190"/>
    </row>
    <row r="65" spans="38:58" ht="20.100000000000001" customHeight="1" x14ac:dyDescent="0.25">
      <c r="AL65" s="1"/>
      <c r="AO65" s="1"/>
      <c r="BF65" s="4"/>
    </row>
    <row r="66" spans="38:58" ht="20.100000000000001" customHeight="1" x14ac:dyDescent="0.25">
      <c r="AL66" s="1"/>
      <c r="AO66" s="1"/>
      <c r="BF66" s="4"/>
    </row>
    <row r="67" spans="38:58" ht="20.100000000000001" customHeight="1" x14ac:dyDescent="0.25">
      <c r="AL67" s="1"/>
      <c r="AO67" s="1"/>
      <c r="BF67" s="4"/>
    </row>
    <row r="68" spans="38:58" ht="20.100000000000001" customHeight="1" x14ac:dyDescent="0.25">
      <c r="AL68" s="1"/>
      <c r="AO68" s="1"/>
      <c r="BF68" s="4"/>
    </row>
    <row r="69" spans="38:58" ht="20.100000000000001" customHeight="1" x14ac:dyDescent="0.25">
      <c r="AL69" s="1"/>
      <c r="AO69" s="1"/>
      <c r="BF69" s="4"/>
    </row>
    <row r="70" spans="38:58" ht="20.100000000000001" customHeight="1" x14ac:dyDescent="0.25">
      <c r="AL70" s="1"/>
      <c r="AO70" s="1"/>
      <c r="BF70" s="4"/>
    </row>
    <row r="71" spans="38:58" ht="20.100000000000001" customHeight="1" x14ac:dyDescent="0.25">
      <c r="AL71" s="1"/>
      <c r="AO71" s="1"/>
      <c r="BF71" s="4"/>
    </row>
    <row r="72" spans="38:58" ht="20.100000000000001" customHeight="1" x14ac:dyDescent="0.25">
      <c r="AL72" s="1"/>
      <c r="AO72" s="1"/>
      <c r="BF72" s="4"/>
    </row>
    <row r="73" spans="38:58" ht="20.100000000000001" customHeight="1" x14ac:dyDescent="0.25">
      <c r="AL73" s="1"/>
      <c r="AO73" s="1"/>
      <c r="BF73" s="4"/>
    </row>
    <row r="74" spans="38:58" ht="20.100000000000001" customHeight="1" x14ac:dyDescent="0.25">
      <c r="AL74" s="1"/>
      <c r="AO74" s="1"/>
      <c r="BF74" s="4"/>
    </row>
    <row r="75" spans="38:58" ht="20.100000000000001" customHeight="1" x14ac:dyDescent="0.25">
      <c r="AL75" s="1"/>
      <c r="AO75" s="1"/>
      <c r="BF75" s="4"/>
    </row>
    <row r="76" spans="38:58" ht="20.100000000000001" customHeight="1" x14ac:dyDescent="0.25">
      <c r="AL76" s="1"/>
      <c r="AO76" s="1"/>
      <c r="BF76" s="4"/>
    </row>
    <row r="77" spans="38:58" ht="20.100000000000001" customHeight="1" x14ac:dyDescent="0.25">
      <c r="AL77" s="1"/>
      <c r="AO77" s="1"/>
      <c r="BF77" s="4"/>
    </row>
    <row r="78" spans="38:58" ht="20.100000000000001" customHeight="1" x14ac:dyDescent="0.25">
      <c r="AL78" s="1"/>
      <c r="AO78" s="1"/>
      <c r="BF78" s="4"/>
    </row>
    <row r="79" spans="38:58" ht="20.100000000000001" customHeight="1" x14ac:dyDescent="0.25">
      <c r="AL79" s="1"/>
      <c r="AO79" s="1"/>
      <c r="BF79" s="4"/>
    </row>
    <row r="80" spans="38:58" ht="20.100000000000001" customHeight="1" x14ac:dyDescent="0.25">
      <c r="AL80" s="1"/>
      <c r="AO80" s="1"/>
      <c r="BF80" s="4"/>
    </row>
    <row r="81" spans="4:67" ht="20.100000000000001" customHeight="1" x14ac:dyDescent="0.25">
      <c r="AL81" s="1"/>
      <c r="AO81" s="1"/>
      <c r="BF81" s="4"/>
    </row>
    <row r="82" spans="4:67" ht="20.100000000000001" customHeight="1" x14ac:dyDescent="0.25">
      <c r="AL82" s="1"/>
      <c r="AO82" s="1"/>
      <c r="BF82" s="4"/>
    </row>
    <row r="83" spans="4:67" ht="20.100000000000001" customHeight="1" x14ac:dyDescent="0.25">
      <c r="D83" s="2"/>
      <c r="E83" s="2"/>
      <c r="F83" s="2"/>
      <c r="G83" s="2"/>
      <c r="H83" s="190"/>
      <c r="I83" s="190"/>
      <c r="J83" s="190"/>
      <c r="K83" s="190"/>
      <c r="L83" s="3"/>
      <c r="M83" s="4"/>
      <c r="N83" s="4"/>
      <c r="O83" s="4"/>
      <c r="P83" s="190"/>
      <c r="Q83" s="2"/>
      <c r="R83" s="2"/>
      <c r="S83" s="190"/>
      <c r="T83" s="190"/>
      <c r="U83" s="5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M83" s="190"/>
      <c r="AN83" s="190"/>
      <c r="AP83" s="190"/>
      <c r="AQ83" s="190"/>
      <c r="AR83" s="190"/>
      <c r="AS83" s="190"/>
      <c r="AT83" s="190"/>
      <c r="AU83" s="190"/>
      <c r="AV83" s="190"/>
      <c r="AW83" s="190"/>
      <c r="AX83" s="190"/>
      <c r="AY83" s="190"/>
      <c r="AZ83" s="190"/>
      <c r="BA83" s="190"/>
      <c r="BB83" s="190"/>
      <c r="BC83" s="190"/>
      <c r="BD83" s="190"/>
      <c r="BE83" s="3"/>
      <c r="BF83" s="4"/>
      <c r="BG83" s="4"/>
      <c r="BH83" s="4"/>
      <c r="BK83" s="2"/>
      <c r="BL83" s="2"/>
      <c r="BM83" s="2"/>
      <c r="BO83" s="5"/>
    </row>
    <row r="84" spans="4:67" ht="20.100000000000001" customHeight="1" x14ac:dyDescent="0.25">
      <c r="D84" s="2"/>
      <c r="E84" s="2"/>
      <c r="F84" s="2"/>
      <c r="G84" s="2"/>
      <c r="H84" s="190"/>
      <c r="I84" s="190"/>
      <c r="J84" s="190"/>
      <c r="K84" s="190"/>
      <c r="L84" s="3"/>
      <c r="M84" s="4"/>
      <c r="N84" s="4"/>
      <c r="O84" s="4"/>
      <c r="P84" s="190"/>
      <c r="Q84" s="2"/>
      <c r="R84" s="2"/>
      <c r="S84" s="190"/>
      <c r="T84" s="190"/>
      <c r="U84" s="5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  <c r="AI84" s="190"/>
      <c r="AJ84" s="190"/>
      <c r="AK84" s="190"/>
      <c r="AM84" s="190"/>
      <c r="AN84" s="190"/>
      <c r="AP84" s="190"/>
      <c r="AQ84" s="190"/>
      <c r="AR84" s="190"/>
      <c r="AS84" s="190"/>
      <c r="AT84" s="190"/>
      <c r="AU84" s="190"/>
      <c r="AV84" s="190"/>
      <c r="AW84" s="190"/>
      <c r="AX84" s="190"/>
      <c r="AY84" s="190"/>
      <c r="AZ84" s="190"/>
      <c r="BA84" s="190"/>
      <c r="BB84" s="190"/>
      <c r="BC84" s="190"/>
      <c r="BD84" s="190"/>
      <c r="BE84" s="3"/>
      <c r="BF84" s="4"/>
      <c r="BG84" s="4"/>
      <c r="BH84" s="4"/>
      <c r="BK84" s="2"/>
      <c r="BL84" s="2"/>
      <c r="BM84" s="2"/>
      <c r="BO84" s="5"/>
    </row>
    <row r="85" spans="4:67" ht="20.100000000000001" customHeight="1" x14ac:dyDescent="0.25">
      <c r="D85" s="2"/>
      <c r="E85" s="2"/>
      <c r="F85" s="2"/>
      <c r="G85" s="2"/>
      <c r="H85" s="190"/>
      <c r="I85" s="190"/>
      <c r="J85" s="190"/>
      <c r="K85" s="190"/>
      <c r="L85" s="3"/>
      <c r="M85" s="4"/>
      <c r="N85" s="4"/>
      <c r="O85" s="4"/>
      <c r="P85" s="190"/>
      <c r="Q85" s="2"/>
      <c r="R85" s="2"/>
      <c r="S85" s="190"/>
      <c r="T85" s="190"/>
      <c r="U85" s="5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M85" s="190"/>
      <c r="AN85" s="190"/>
      <c r="AP85" s="190"/>
      <c r="AQ85" s="190"/>
      <c r="AR85" s="190"/>
      <c r="AS85" s="190"/>
      <c r="AT85" s="190"/>
      <c r="AU85" s="190"/>
      <c r="AV85" s="190"/>
      <c r="AW85" s="190"/>
      <c r="AX85" s="190"/>
      <c r="AY85" s="190"/>
      <c r="AZ85" s="190"/>
      <c r="BA85" s="190"/>
      <c r="BB85" s="190"/>
      <c r="BC85" s="190"/>
      <c r="BD85" s="190"/>
      <c r="BE85" s="3"/>
      <c r="BF85" s="4"/>
      <c r="BG85" s="4"/>
      <c r="BH85" s="4"/>
      <c r="BK85" s="2"/>
      <c r="BL85" s="2"/>
      <c r="BM85" s="2"/>
      <c r="BO85" s="5"/>
    </row>
    <row r="86" spans="4:67" ht="20.100000000000001" customHeight="1" x14ac:dyDescent="0.25">
      <c r="D86" s="2"/>
      <c r="E86" s="2"/>
      <c r="F86" s="2"/>
      <c r="G86" s="2"/>
      <c r="H86" s="190"/>
      <c r="I86" s="190"/>
      <c r="J86" s="190"/>
      <c r="K86" s="190"/>
      <c r="L86" s="3"/>
      <c r="M86" s="4"/>
      <c r="N86" s="4"/>
      <c r="O86" s="4"/>
      <c r="P86" s="190"/>
      <c r="Q86" s="2"/>
      <c r="R86" s="2"/>
      <c r="S86" s="190"/>
      <c r="T86" s="190"/>
      <c r="U86" s="5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  <c r="AI86" s="190"/>
      <c r="AJ86" s="190"/>
      <c r="AK86" s="190"/>
      <c r="AM86" s="190"/>
      <c r="AN86" s="190"/>
      <c r="AP86" s="190"/>
      <c r="AQ86" s="190"/>
      <c r="AR86" s="190"/>
      <c r="AS86" s="190"/>
      <c r="AT86" s="190"/>
      <c r="AU86" s="190"/>
      <c r="AV86" s="190"/>
      <c r="AW86" s="190"/>
      <c r="AX86" s="190"/>
      <c r="AY86" s="190"/>
      <c r="AZ86" s="190"/>
      <c r="BA86" s="190"/>
      <c r="BB86" s="190"/>
      <c r="BC86" s="190"/>
      <c r="BD86" s="190"/>
      <c r="BE86" s="3"/>
      <c r="BF86" s="4"/>
      <c r="BG86" s="4"/>
      <c r="BH86" s="4"/>
      <c r="BK86" s="2"/>
      <c r="BL86" s="2"/>
      <c r="BM86" s="2"/>
      <c r="BO86" s="5"/>
    </row>
    <row r="87" spans="4:67" ht="20.100000000000001" customHeight="1" x14ac:dyDescent="0.25">
      <c r="D87" s="2"/>
      <c r="E87" s="2"/>
      <c r="F87" s="2"/>
      <c r="G87" s="2"/>
      <c r="H87" s="190"/>
      <c r="I87" s="190"/>
      <c r="J87" s="190"/>
      <c r="K87" s="190"/>
      <c r="L87" s="3"/>
      <c r="M87" s="4"/>
      <c r="N87" s="4"/>
      <c r="O87" s="4"/>
      <c r="P87" s="190"/>
      <c r="Q87" s="2"/>
      <c r="R87" s="2"/>
      <c r="S87" s="190"/>
      <c r="T87" s="190"/>
      <c r="U87" s="5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  <c r="AF87" s="190"/>
      <c r="AG87" s="190"/>
      <c r="AH87" s="190"/>
      <c r="AI87" s="190"/>
      <c r="AJ87" s="190"/>
      <c r="AK87" s="190"/>
      <c r="AM87" s="190"/>
      <c r="AN87" s="190"/>
      <c r="AP87" s="190"/>
      <c r="AQ87" s="190"/>
      <c r="AR87" s="190"/>
      <c r="AS87" s="190"/>
      <c r="AT87" s="190"/>
      <c r="AU87" s="190"/>
      <c r="AV87" s="190"/>
      <c r="AW87" s="190"/>
      <c r="AX87" s="190"/>
      <c r="AY87" s="190"/>
      <c r="AZ87" s="190"/>
      <c r="BA87" s="190"/>
      <c r="BB87" s="190"/>
      <c r="BC87" s="190"/>
      <c r="BD87" s="190"/>
      <c r="BE87" s="3"/>
      <c r="BF87" s="4"/>
      <c r="BG87" s="4"/>
      <c r="BH87" s="4"/>
      <c r="BK87" s="2"/>
      <c r="BL87" s="2"/>
      <c r="BM87" s="2"/>
      <c r="BO87" s="5"/>
    </row>
    <row r="88" spans="4:67" ht="20.100000000000001" customHeight="1" x14ac:dyDescent="0.25">
      <c r="D88" s="2"/>
      <c r="E88" s="2"/>
      <c r="F88" s="2"/>
      <c r="G88" s="2"/>
      <c r="H88" s="190"/>
      <c r="I88" s="190"/>
      <c r="J88" s="190"/>
      <c r="K88" s="190"/>
      <c r="L88" s="3"/>
      <c r="M88" s="4"/>
      <c r="N88" s="4"/>
      <c r="O88" s="4"/>
      <c r="P88" s="190"/>
      <c r="Q88" s="2"/>
      <c r="R88" s="2"/>
      <c r="S88" s="190"/>
      <c r="T88" s="190"/>
      <c r="U88" s="5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190"/>
      <c r="AI88" s="190"/>
      <c r="AJ88" s="190"/>
      <c r="AK88" s="190"/>
      <c r="AM88" s="190"/>
      <c r="AN88" s="190"/>
      <c r="AP88" s="190"/>
      <c r="AQ88" s="190"/>
      <c r="AR88" s="190"/>
      <c r="AS88" s="190"/>
      <c r="AT88" s="190"/>
      <c r="AU88" s="190"/>
      <c r="AV88" s="190"/>
      <c r="AW88" s="190"/>
      <c r="AX88" s="190"/>
      <c r="AY88" s="190"/>
      <c r="AZ88" s="190"/>
      <c r="BA88" s="190"/>
      <c r="BB88" s="190"/>
      <c r="BC88" s="190"/>
      <c r="BD88" s="190"/>
      <c r="BE88" s="3"/>
      <c r="BF88" s="4"/>
      <c r="BG88" s="4"/>
      <c r="BH88" s="4"/>
      <c r="BK88" s="2"/>
      <c r="BL88" s="2"/>
      <c r="BM88" s="2"/>
      <c r="BO88" s="5"/>
    </row>
    <row r="89" spans="4:67" ht="20.100000000000001" customHeight="1" x14ac:dyDescent="0.25">
      <c r="D89" s="2"/>
      <c r="E89" s="2"/>
      <c r="F89" s="2"/>
      <c r="G89" s="2"/>
      <c r="H89" s="190"/>
      <c r="I89" s="190"/>
      <c r="J89" s="190"/>
      <c r="K89" s="190"/>
      <c r="L89" s="3"/>
      <c r="M89" s="4"/>
      <c r="N89" s="4"/>
      <c r="O89" s="4"/>
      <c r="P89" s="190"/>
      <c r="Q89" s="2"/>
      <c r="R89" s="2"/>
      <c r="S89" s="190"/>
      <c r="T89" s="190"/>
      <c r="U89" s="5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90"/>
      <c r="AH89" s="190"/>
      <c r="AI89" s="190"/>
      <c r="AJ89" s="190"/>
      <c r="AK89" s="190"/>
      <c r="AM89" s="190"/>
      <c r="AN89" s="190"/>
      <c r="AP89" s="190"/>
      <c r="AQ89" s="190"/>
      <c r="AR89" s="190"/>
      <c r="AS89" s="190"/>
      <c r="AT89" s="190"/>
      <c r="AU89" s="190"/>
      <c r="AV89" s="190"/>
      <c r="AW89" s="190"/>
      <c r="AX89" s="190"/>
      <c r="AY89" s="190"/>
      <c r="AZ89" s="190"/>
      <c r="BA89" s="190"/>
      <c r="BB89" s="190"/>
      <c r="BC89" s="190"/>
      <c r="BD89" s="190"/>
      <c r="BE89" s="3"/>
      <c r="BF89" s="4"/>
      <c r="BG89" s="4"/>
      <c r="BH89" s="4"/>
      <c r="BK89" s="2"/>
      <c r="BL89" s="2"/>
      <c r="BM89" s="2"/>
      <c r="BO89" s="5"/>
    </row>
    <row r="90" spans="4:67" ht="20.100000000000001" customHeight="1" x14ac:dyDescent="0.25">
      <c r="D90" s="2"/>
      <c r="E90" s="2"/>
      <c r="F90" s="2"/>
      <c r="G90" s="2"/>
      <c r="H90" s="190"/>
      <c r="I90" s="190"/>
      <c r="J90" s="190"/>
      <c r="K90" s="190"/>
      <c r="L90" s="3"/>
      <c r="M90" s="4"/>
      <c r="N90" s="4"/>
      <c r="O90" s="4"/>
      <c r="P90" s="190"/>
      <c r="Q90" s="2"/>
      <c r="R90" s="2"/>
      <c r="S90" s="190"/>
      <c r="T90" s="190"/>
      <c r="U90" s="5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190"/>
      <c r="AI90" s="190"/>
      <c r="AJ90" s="190"/>
      <c r="AK90" s="3"/>
      <c r="AM90" s="190"/>
      <c r="AN90" s="190"/>
      <c r="AP90" s="190"/>
      <c r="AQ90" s="190"/>
      <c r="AR90" s="190"/>
      <c r="AS90" s="190"/>
      <c r="AT90" s="190"/>
      <c r="AU90" s="190"/>
      <c r="AV90" s="190"/>
      <c r="AW90" s="190"/>
      <c r="AX90" s="190"/>
      <c r="AY90" s="190"/>
      <c r="AZ90" s="190"/>
      <c r="BA90" s="190"/>
      <c r="BB90" s="190"/>
      <c r="BC90" s="190"/>
      <c r="BD90" s="190"/>
      <c r="BE90" s="3"/>
      <c r="BF90" s="4"/>
      <c r="BG90" s="4"/>
      <c r="BH90" s="4"/>
      <c r="BK90" s="2"/>
      <c r="BL90" s="2"/>
      <c r="BM90" s="2"/>
      <c r="BO90" s="5"/>
    </row>
    <row r="91" spans="4:67" ht="20.100000000000001" customHeight="1" x14ac:dyDescent="0.25">
      <c r="D91" s="2"/>
      <c r="E91" s="2"/>
      <c r="F91" s="2"/>
      <c r="G91" s="2"/>
      <c r="H91" s="2"/>
      <c r="I91" s="190"/>
      <c r="J91" s="190"/>
      <c r="K91" s="190"/>
      <c r="L91" s="190"/>
      <c r="M91" s="3"/>
      <c r="N91" s="4"/>
      <c r="O91" s="4"/>
      <c r="P91" s="190"/>
      <c r="Q91" s="2"/>
      <c r="R91" s="2"/>
      <c r="S91" s="190"/>
      <c r="T91" s="190"/>
      <c r="U91" s="5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  <c r="AF91" s="190"/>
      <c r="AG91" s="190"/>
      <c r="AH91" s="190"/>
      <c r="AI91" s="190"/>
      <c r="AJ91" s="190"/>
      <c r="AK91" s="3"/>
      <c r="AM91" s="190"/>
      <c r="AN91" s="190"/>
      <c r="AP91" s="190"/>
      <c r="AQ91" s="190"/>
      <c r="AR91" s="190"/>
      <c r="AS91" s="190"/>
      <c r="AT91" s="190"/>
      <c r="AU91" s="190"/>
      <c r="AV91" s="190"/>
      <c r="AW91" s="190"/>
      <c r="AX91" s="190"/>
      <c r="AY91" s="190"/>
      <c r="AZ91" s="190"/>
      <c r="BA91" s="190"/>
      <c r="BB91" s="190"/>
      <c r="BC91" s="190"/>
      <c r="BD91" s="190"/>
      <c r="BE91" s="3"/>
      <c r="BF91" s="4"/>
      <c r="BG91" s="4"/>
      <c r="BH91" s="4"/>
      <c r="BK91" s="2"/>
      <c r="BL91" s="2"/>
      <c r="BM91" s="2"/>
      <c r="BO91" s="5"/>
    </row>
    <row r="92" spans="4:67" ht="20.100000000000001" customHeight="1" x14ac:dyDescent="0.25">
      <c r="D92" s="2"/>
      <c r="E92" s="2"/>
      <c r="F92" s="2"/>
      <c r="G92" s="2"/>
      <c r="H92" s="2"/>
      <c r="I92" s="190"/>
      <c r="J92" s="190"/>
      <c r="K92" s="190"/>
      <c r="L92" s="190"/>
      <c r="M92" s="3"/>
      <c r="N92" s="4"/>
      <c r="O92" s="4"/>
      <c r="P92" s="190"/>
      <c r="Q92" s="2"/>
      <c r="R92" s="2"/>
      <c r="S92" s="190"/>
      <c r="T92" s="190"/>
      <c r="U92" s="5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0"/>
      <c r="AH92" s="190"/>
      <c r="AI92" s="190"/>
      <c r="AJ92" s="190"/>
      <c r="AK92" s="3"/>
      <c r="AM92" s="190"/>
      <c r="AN92" s="190"/>
      <c r="AP92" s="190"/>
      <c r="AQ92" s="190"/>
      <c r="AR92" s="190"/>
      <c r="AS92" s="190"/>
      <c r="AT92" s="190"/>
      <c r="AU92" s="190"/>
      <c r="AV92" s="190"/>
      <c r="AW92" s="190"/>
      <c r="AX92" s="190"/>
      <c r="AY92" s="190"/>
      <c r="AZ92" s="190"/>
      <c r="BA92" s="190"/>
      <c r="BB92" s="190"/>
      <c r="BC92" s="190"/>
      <c r="BD92" s="190"/>
      <c r="BE92" s="3"/>
      <c r="BF92" s="4"/>
      <c r="BG92" s="4"/>
      <c r="BH92" s="4"/>
      <c r="BK92" s="2"/>
      <c r="BL92" s="2"/>
      <c r="BM92" s="2"/>
      <c r="BO92" s="5"/>
    </row>
    <row r="93" spans="4:67" ht="20.100000000000001" customHeight="1" x14ac:dyDescent="0.25">
      <c r="D93" s="2"/>
      <c r="E93" s="2"/>
      <c r="F93" s="2"/>
      <c r="G93" s="2"/>
      <c r="H93" s="2"/>
      <c r="I93" s="190"/>
      <c r="J93" s="190"/>
      <c r="K93" s="190"/>
      <c r="L93" s="190"/>
      <c r="M93" s="3"/>
      <c r="N93" s="4"/>
      <c r="O93" s="4"/>
      <c r="P93" s="190"/>
      <c r="Q93" s="2"/>
      <c r="R93" s="2"/>
      <c r="S93" s="190"/>
      <c r="T93" s="190"/>
      <c r="U93" s="5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  <c r="AI93" s="190"/>
      <c r="AJ93" s="190"/>
      <c r="AK93" s="3"/>
      <c r="AM93" s="190"/>
      <c r="AN93" s="190"/>
      <c r="AP93" s="190"/>
      <c r="AQ93" s="190"/>
      <c r="AR93" s="190"/>
      <c r="AS93" s="190"/>
      <c r="AT93" s="190"/>
      <c r="AU93" s="190"/>
      <c r="AV93" s="190"/>
      <c r="AW93" s="190"/>
      <c r="AX93" s="190"/>
      <c r="AY93" s="190"/>
      <c r="AZ93" s="190"/>
      <c r="BA93" s="190"/>
      <c r="BB93" s="190"/>
      <c r="BC93" s="190"/>
      <c r="BD93" s="190"/>
      <c r="BE93" s="3"/>
      <c r="BF93" s="4"/>
      <c r="BG93" s="4"/>
      <c r="BH93" s="4"/>
      <c r="BK93" s="2"/>
      <c r="BL93" s="2"/>
      <c r="BM93" s="2"/>
      <c r="BO93" s="5"/>
    </row>
    <row r="94" spans="4:67" ht="20.100000000000001" customHeight="1" x14ac:dyDescent="0.25">
      <c r="D94" s="2"/>
      <c r="E94" s="2"/>
      <c r="F94" s="2"/>
      <c r="G94" s="2"/>
      <c r="H94" s="2"/>
      <c r="I94" s="190"/>
      <c r="J94" s="190"/>
      <c r="K94" s="190"/>
      <c r="L94" s="190"/>
      <c r="M94" s="3"/>
      <c r="N94" s="4"/>
      <c r="O94" s="4"/>
      <c r="P94" s="190"/>
      <c r="Q94" s="2"/>
      <c r="R94" s="2"/>
      <c r="S94" s="190"/>
      <c r="T94" s="190"/>
      <c r="U94" s="5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  <c r="AI94" s="190"/>
      <c r="AJ94" s="190"/>
      <c r="AK94" s="3"/>
      <c r="AM94" s="190"/>
      <c r="AN94" s="190"/>
      <c r="AP94" s="190"/>
      <c r="AQ94" s="190"/>
      <c r="AR94" s="190"/>
      <c r="AS94" s="190"/>
      <c r="AT94" s="190"/>
      <c r="AU94" s="190"/>
      <c r="AV94" s="190"/>
      <c r="AW94" s="190"/>
      <c r="AX94" s="190"/>
      <c r="AY94" s="190"/>
      <c r="AZ94" s="190"/>
      <c r="BA94" s="190"/>
      <c r="BB94" s="190"/>
      <c r="BC94" s="190"/>
      <c r="BD94" s="190"/>
      <c r="BE94" s="3"/>
      <c r="BF94" s="4"/>
      <c r="BG94" s="4"/>
      <c r="BH94" s="4"/>
      <c r="BK94" s="2"/>
      <c r="BL94" s="2"/>
      <c r="BM94" s="2"/>
      <c r="BO94" s="5"/>
    </row>
    <row r="95" spans="4:67" ht="20.100000000000001" customHeight="1" x14ac:dyDescent="0.25">
      <c r="D95" s="2"/>
      <c r="E95" s="2"/>
      <c r="F95" s="2"/>
      <c r="G95" s="2"/>
      <c r="H95" s="2"/>
      <c r="I95" s="190"/>
      <c r="J95" s="190"/>
      <c r="K95" s="190"/>
      <c r="L95" s="190"/>
      <c r="M95" s="3"/>
      <c r="N95" s="4"/>
      <c r="O95" s="4"/>
      <c r="P95" s="190"/>
      <c r="Q95" s="2"/>
      <c r="R95" s="2"/>
      <c r="S95" s="190"/>
      <c r="T95" s="190"/>
      <c r="U95" s="5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90"/>
      <c r="AH95" s="190"/>
      <c r="AI95" s="190"/>
      <c r="AJ95" s="190"/>
      <c r="AK95" s="3"/>
      <c r="AM95" s="190"/>
      <c r="AN95" s="190"/>
      <c r="AP95" s="190"/>
      <c r="AQ95" s="190"/>
      <c r="AR95" s="190"/>
      <c r="AS95" s="190"/>
      <c r="AT95" s="190"/>
      <c r="AU95" s="190"/>
      <c r="AV95" s="190"/>
      <c r="AW95" s="190"/>
      <c r="AX95" s="190"/>
      <c r="AY95" s="190"/>
      <c r="AZ95" s="190"/>
      <c r="BA95" s="190"/>
      <c r="BB95" s="190"/>
      <c r="BC95" s="190"/>
      <c r="BD95" s="190"/>
      <c r="BE95" s="3"/>
      <c r="BF95" s="4"/>
      <c r="BG95" s="4"/>
      <c r="BH95" s="4"/>
      <c r="BK95" s="2"/>
      <c r="BL95" s="2"/>
      <c r="BM95" s="2"/>
      <c r="BO95" s="5"/>
    </row>
    <row r="96" spans="4:67" ht="20.100000000000001" customHeight="1" x14ac:dyDescent="0.25">
      <c r="D96" s="2"/>
      <c r="E96" s="2"/>
      <c r="F96" s="2"/>
      <c r="G96" s="2"/>
      <c r="H96" s="2"/>
      <c r="I96" s="190"/>
      <c r="J96" s="190"/>
      <c r="K96" s="190"/>
      <c r="L96" s="190"/>
      <c r="M96" s="3"/>
      <c r="N96" s="4"/>
      <c r="O96" s="4"/>
      <c r="P96" s="190"/>
      <c r="Q96" s="2"/>
      <c r="R96" s="2"/>
      <c r="S96" s="190"/>
      <c r="T96" s="190"/>
      <c r="U96" s="5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190"/>
      <c r="AI96" s="190"/>
      <c r="AJ96" s="190"/>
      <c r="AK96" s="3"/>
      <c r="AM96" s="190"/>
      <c r="AN96" s="190"/>
      <c r="AP96" s="190"/>
      <c r="AQ96" s="190"/>
      <c r="AR96" s="190"/>
      <c r="AS96" s="190"/>
      <c r="AT96" s="190"/>
      <c r="AU96" s="190"/>
      <c r="AV96" s="190"/>
      <c r="AW96" s="190"/>
      <c r="AX96" s="190"/>
      <c r="AY96" s="190"/>
      <c r="AZ96" s="190"/>
      <c r="BA96" s="190"/>
      <c r="BB96" s="190"/>
      <c r="BC96" s="190"/>
      <c r="BD96" s="190"/>
      <c r="BE96" s="3"/>
      <c r="BF96" s="4"/>
      <c r="BG96" s="4"/>
      <c r="BH96" s="4"/>
      <c r="BK96" s="2"/>
      <c r="BL96" s="2"/>
      <c r="BM96" s="2"/>
      <c r="BO96" s="5"/>
    </row>
    <row r="97" spans="4:59" ht="20.100000000000001" customHeight="1" x14ac:dyDescent="0.25">
      <c r="D97" s="2"/>
      <c r="E97" s="2"/>
      <c r="F97" s="2"/>
      <c r="G97" s="2"/>
      <c r="H97" s="2"/>
      <c r="I97" s="190"/>
      <c r="J97" s="190"/>
      <c r="K97" s="190"/>
      <c r="L97" s="190"/>
      <c r="M97" s="3"/>
      <c r="N97" s="4"/>
      <c r="O97" s="4"/>
      <c r="P97" s="190"/>
      <c r="Q97" s="2"/>
      <c r="R97" s="2"/>
      <c r="S97" s="190"/>
      <c r="T97" s="190"/>
      <c r="U97" s="5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  <c r="AK97" s="3"/>
      <c r="AM97" s="2"/>
      <c r="AN97" s="190"/>
      <c r="AP97" s="190"/>
      <c r="AQ97" s="190"/>
      <c r="AR97" s="190"/>
      <c r="AS97" s="190"/>
      <c r="AT97" s="190"/>
      <c r="AU97" s="190"/>
      <c r="AV97" s="190"/>
      <c r="AW97" s="190"/>
      <c r="AX97" s="190"/>
      <c r="AY97" s="190"/>
      <c r="AZ97" s="190"/>
      <c r="BA97" s="190"/>
      <c r="BB97" s="190"/>
      <c r="BC97" s="190"/>
      <c r="BD97" s="190"/>
      <c r="BE97" s="190"/>
      <c r="BF97" s="190"/>
      <c r="BG97" s="190"/>
    </row>
    <row r="98" spans="4:59" ht="20.100000000000001" customHeight="1" x14ac:dyDescent="0.25">
      <c r="D98" s="2"/>
      <c r="E98" s="2"/>
      <c r="F98" s="2"/>
      <c r="G98" s="2"/>
      <c r="H98" s="2"/>
      <c r="I98" s="190"/>
      <c r="J98" s="190"/>
      <c r="K98" s="190"/>
      <c r="L98" s="190"/>
      <c r="M98" s="3"/>
      <c r="N98" s="4"/>
      <c r="O98" s="4"/>
      <c r="P98" s="190"/>
      <c r="Q98" s="2"/>
      <c r="R98" s="2"/>
      <c r="S98" s="190"/>
      <c r="T98" s="190"/>
      <c r="U98" s="5"/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190"/>
      <c r="AK98" s="3"/>
      <c r="AM98" s="2"/>
      <c r="AN98" s="190"/>
      <c r="AP98" s="190"/>
      <c r="AQ98" s="190"/>
      <c r="AR98" s="190"/>
      <c r="AS98" s="190"/>
      <c r="AT98" s="190"/>
      <c r="AU98" s="190"/>
      <c r="AV98" s="190"/>
      <c r="AW98" s="190"/>
      <c r="AX98" s="190"/>
      <c r="AY98" s="190"/>
      <c r="AZ98" s="190"/>
      <c r="BA98" s="190"/>
      <c r="BB98" s="190"/>
      <c r="BC98" s="190"/>
      <c r="BD98" s="190"/>
      <c r="BE98" s="190"/>
      <c r="BF98" s="190"/>
      <c r="BG98" s="190"/>
    </row>
    <row r="99" spans="4:59" ht="20.100000000000001" customHeight="1" x14ac:dyDescent="0.25">
      <c r="D99" s="2"/>
      <c r="E99" s="2"/>
      <c r="F99" s="2"/>
      <c r="G99" s="2"/>
      <c r="H99" s="2"/>
      <c r="I99" s="190"/>
      <c r="J99" s="190"/>
      <c r="K99" s="190"/>
      <c r="L99" s="190"/>
      <c r="M99" s="3"/>
      <c r="N99" s="4"/>
      <c r="O99" s="4"/>
      <c r="P99" s="190"/>
      <c r="Q99" s="2"/>
      <c r="R99" s="2"/>
      <c r="S99" s="190"/>
      <c r="T99" s="190"/>
      <c r="U99" s="5"/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0"/>
      <c r="AK99" s="3"/>
      <c r="AM99" s="2"/>
      <c r="AN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0"/>
      <c r="AZ99" s="190"/>
      <c r="BA99" s="190"/>
      <c r="BB99" s="190"/>
      <c r="BC99" s="190"/>
      <c r="BD99" s="190"/>
      <c r="BE99" s="190"/>
      <c r="BF99" s="190"/>
      <c r="BG99" s="190"/>
    </row>
    <row r="100" spans="4:59" ht="20.100000000000001" customHeight="1" x14ac:dyDescent="0.25">
      <c r="D100" s="2"/>
      <c r="E100" s="2"/>
      <c r="F100" s="2"/>
      <c r="G100" s="2"/>
      <c r="H100" s="2"/>
      <c r="I100" s="190"/>
      <c r="J100" s="190"/>
      <c r="K100" s="190"/>
      <c r="L100" s="190"/>
      <c r="M100" s="3"/>
      <c r="N100" s="4"/>
      <c r="O100" s="4"/>
      <c r="P100" s="190"/>
      <c r="Q100" s="2"/>
      <c r="R100" s="2"/>
      <c r="S100" s="190"/>
      <c r="T100" s="190"/>
      <c r="U100" s="5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90"/>
      <c r="AK100" s="3"/>
      <c r="AM100" s="2"/>
      <c r="AN100" s="190"/>
      <c r="AP100" s="190"/>
      <c r="AQ100" s="190"/>
      <c r="AR100" s="190"/>
      <c r="AS100" s="190"/>
      <c r="AT100" s="190"/>
      <c r="AU100" s="190"/>
      <c r="AV100" s="190"/>
      <c r="AW100" s="190"/>
      <c r="AX100" s="190"/>
      <c r="AY100" s="190"/>
      <c r="AZ100" s="190"/>
      <c r="BA100" s="190"/>
      <c r="BB100" s="190"/>
      <c r="BC100" s="190"/>
      <c r="BD100" s="190"/>
      <c r="BE100" s="190"/>
      <c r="BF100" s="190"/>
      <c r="BG100" s="190"/>
    </row>
    <row r="101" spans="4:59" ht="20.100000000000001" customHeight="1" x14ac:dyDescent="0.25">
      <c r="D101" s="2"/>
      <c r="E101" s="2"/>
      <c r="F101" s="2"/>
      <c r="G101" s="2"/>
      <c r="H101" s="2"/>
      <c r="I101" s="190"/>
      <c r="J101" s="190"/>
      <c r="K101" s="190"/>
      <c r="L101" s="190"/>
      <c r="M101" s="3"/>
      <c r="N101" s="4"/>
      <c r="O101" s="4"/>
      <c r="P101" s="190"/>
      <c r="Q101" s="2"/>
      <c r="R101" s="2"/>
      <c r="S101" s="190"/>
      <c r="T101" s="190"/>
      <c r="U101" s="5"/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  <c r="AF101" s="190"/>
      <c r="AG101" s="190"/>
      <c r="AH101" s="190"/>
      <c r="AI101" s="190"/>
      <c r="AJ101" s="190"/>
      <c r="AK101" s="3"/>
      <c r="AM101" s="2"/>
      <c r="AN101" s="190"/>
      <c r="AP101" s="190"/>
      <c r="AQ101" s="190"/>
      <c r="AR101" s="190"/>
      <c r="AS101" s="190"/>
      <c r="AT101" s="190"/>
      <c r="AU101" s="190"/>
      <c r="AV101" s="190"/>
      <c r="AW101" s="190"/>
      <c r="AX101" s="190"/>
      <c r="AY101" s="190"/>
      <c r="AZ101" s="190"/>
      <c r="BA101" s="190"/>
      <c r="BB101" s="190"/>
      <c r="BC101" s="190"/>
      <c r="BD101" s="190"/>
      <c r="BE101" s="190"/>
      <c r="BF101" s="190"/>
      <c r="BG101" s="190"/>
    </row>
    <row r="102" spans="4:59" ht="20.100000000000001" customHeight="1" x14ac:dyDescent="0.25">
      <c r="D102" s="2"/>
      <c r="E102" s="2"/>
      <c r="F102" s="2"/>
      <c r="G102" s="2"/>
      <c r="H102" s="2"/>
      <c r="I102" s="190"/>
      <c r="J102" s="190"/>
      <c r="K102" s="190"/>
      <c r="L102" s="190"/>
      <c r="M102" s="3"/>
      <c r="N102" s="4"/>
      <c r="O102" s="4"/>
      <c r="P102" s="190"/>
      <c r="Q102" s="2"/>
      <c r="R102" s="2"/>
      <c r="S102" s="190"/>
      <c r="T102" s="190"/>
      <c r="U102" s="5"/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190"/>
      <c r="AJ102" s="190"/>
      <c r="AK102" s="3"/>
      <c r="AM102" s="2"/>
      <c r="AN102" s="190"/>
      <c r="AP102" s="190"/>
      <c r="AQ102" s="190"/>
      <c r="AR102" s="190"/>
      <c r="AS102" s="190"/>
      <c r="AT102" s="190"/>
      <c r="AU102" s="190"/>
      <c r="AV102" s="190"/>
      <c r="AW102" s="190"/>
      <c r="AX102" s="190"/>
      <c r="AY102" s="190"/>
      <c r="AZ102" s="190"/>
      <c r="BA102" s="190"/>
      <c r="BB102" s="190"/>
      <c r="BC102" s="190"/>
      <c r="BD102" s="190"/>
      <c r="BE102" s="190"/>
      <c r="BF102" s="190"/>
      <c r="BG102" s="190"/>
    </row>
    <row r="103" spans="4:59" ht="20.100000000000001" customHeight="1" x14ac:dyDescent="0.25">
      <c r="D103" s="2"/>
      <c r="E103" s="2"/>
      <c r="F103" s="2"/>
      <c r="G103" s="2"/>
      <c r="H103" s="2"/>
      <c r="I103" s="190"/>
      <c r="J103" s="190"/>
      <c r="K103" s="190"/>
      <c r="L103" s="190"/>
      <c r="M103" s="3"/>
      <c r="N103" s="4"/>
      <c r="O103" s="4"/>
      <c r="P103" s="190"/>
      <c r="Q103" s="2"/>
      <c r="R103" s="2"/>
      <c r="S103" s="190"/>
      <c r="T103" s="190"/>
      <c r="U103" s="5"/>
      <c r="V103" s="190"/>
      <c r="W103" s="190"/>
      <c r="X103" s="190"/>
      <c r="Y103" s="190"/>
      <c r="Z103" s="190"/>
      <c r="AA103" s="190"/>
      <c r="AB103" s="190"/>
      <c r="AC103" s="190"/>
      <c r="AD103" s="190"/>
      <c r="AE103" s="190"/>
      <c r="AF103" s="190"/>
      <c r="AG103" s="190"/>
      <c r="AH103" s="190"/>
      <c r="AI103" s="190"/>
      <c r="AJ103" s="190"/>
      <c r="AK103" s="3"/>
      <c r="AM103" s="2"/>
      <c r="AN103" s="190"/>
      <c r="AP103" s="190"/>
      <c r="AQ103" s="190"/>
      <c r="AR103" s="190"/>
      <c r="AS103" s="190"/>
      <c r="AT103" s="190"/>
      <c r="AU103" s="190"/>
      <c r="AV103" s="190"/>
      <c r="AW103" s="190"/>
      <c r="AX103" s="190"/>
      <c r="AY103" s="190"/>
      <c r="AZ103" s="190"/>
      <c r="BA103" s="190"/>
      <c r="BB103" s="190"/>
      <c r="BC103" s="190"/>
      <c r="BD103" s="190"/>
      <c r="BE103" s="190"/>
      <c r="BF103" s="190"/>
      <c r="BG103" s="190"/>
    </row>
    <row r="104" spans="4:59" ht="20.100000000000001" customHeight="1" x14ac:dyDescent="0.25">
      <c r="D104" s="2"/>
      <c r="E104" s="2"/>
      <c r="F104" s="2"/>
      <c r="G104" s="2"/>
      <c r="H104" s="2"/>
      <c r="I104" s="190"/>
      <c r="J104" s="190"/>
      <c r="K104" s="190"/>
      <c r="L104" s="190"/>
      <c r="M104" s="3"/>
      <c r="N104" s="4"/>
      <c r="O104" s="4"/>
      <c r="P104" s="190"/>
      <c r="Q104" s="2"/>
      <c r="R104" s="2"/>
      <c r="S104" s="190"/>
      <c r="T104" s="190"/>
      <c r="U104" s="5"/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190"/>
      <c r="AG104" s="190"/>
      <c r="AH104" s="190"/>
      <c r="AI104" s="190"/>
      <c r="AJ104" s="190"/>
      <c r="AK104" s="3"/>
      <c r="AM104" s="2"/>
      <c r="AN104" s="190"/>
      <c r="AP104" s="190"/>
      <c r="AQ104" s="190"/>
      <c r="AR104" s="190"/>
      <c r="AS104" s="190"/>
      <c r="AT104" s="190"/>
      <c r="AU104" s="190"/>
      <c r="AV104" s="190"/>
      <c r="AW104" s="190"/>
      <c r="AX104" s="190"/>
      <c r="AY104" s="190"/>
      <c r="AZ104" s="190"/>
      <c r="BA104" s="190"/>
      <c r="BB104" s="190"/>
      <c r="BC104" s="190"/>
      <c r="BD104" s="190"/>
      <c r="BE104" s="190"/>
      <c r="BF104" s="190"/>
      <c r="BG104" s="190"/>
    </row>
    <row r="105" spans="4:59" ht="20.100000000000001" customHeight="1" x14ac:dyDescent="0.25">
      <c r="D105" s="2"/>
      <c r="E105" s="2"/>
      <c r="F105" s="2"/>
      <c r="G105" s="2"/>
      <c r="H105" s="2"/>
      <c r="I105" s="190"/>
      <c r="J105" s="190"/>
      <c r="K105" s="190"/>
      <c r="L105" s="190"/>
      <c r="M105" s="3"/>
      <c r="N105" s="4"/>
      <c r="O105" s="4"/>
      <c r="P105" s="190"/>
      <c r="Q105" s="2"/>
      <c r="R105" s="2"/>
      <c r="S105" s="190"/>
      <c r="T105" s="190"/>
      <c r="U105" s="5"/>
      <c r="V105" s="190"/>
      <c r="W105" s="190"/>
      <c r="X105" s="190"/>
      <c r="Y105" s="190"/>
      <c r="Z105" s="190"/>
      <c r="AA105" s="190"/>
      <c r="AB105" s="190"/>
      <c r="AC105" s="190"/>
      <c r="AD105" s="190"/>
      <c r="AE105" s="190"/>
      <c r="AF105" s="190"/>
      <c r="AG105" s="190"/>
      <c r="AH105" s="190"/>
      <c r="AI105" s="190"/>
      <c r="AJ105" s="190"/>
      <c r="AK105" s="3"/>
      <c r="AM105" s="2"/>
      <c r="AN105" s="190"/>
      <c r="AP105" s="190"/>
      <c r="AQ105" s="190"/>
      <c r="AR105" s="190"/>
      <c r="AS105" s="190"/>
      <c r="AT105" s="190"/>
      <c r="AU105" s="190"/>
      <c r="AV105" s="190"/>
      <c r="AW105" s="190"/>
      <c r="AX105" s="190"/>
      <c r="AY105" s="190"/>
      <c r="AZ105" s="190"/>
      <c r="BA105" s="190"/>
      <c r="BB105" s="190"/>
      <c r="BC105" s="190"/>
      <c r="BD105" s="190"/>
      <c r="BE105" s="190"/>
      <c r="BF105" s="190"/>
      <c r="BG105" s="190"/>
    </row>
    <row r="106" spans="4:59" ht="20.100000000000001" customHeight="1" x14ac:dyDescent="0.25">
      <c r="D106" s="2"/>
      <c r="E106" s="2"/>
      <c r="F106" s="2"/>
      <c r="G106" s="2"/>
      <c r="H106" s="2"/>
      <c r="I106" s="190"/>
      <c r="J106" s="190"/>
      <c r="K106" s="190"/>
      <c r="L106" s="190"/>
      <c r="M106" s="3"/>
      <c r="N106" s="4"/>
      <c r="O106" s="4"/>
      <c r="P106" s="190"/>
      <c r="Q106" s="2"/>
      <c r="R106" s="2"/>
      <c r="S106" s="190"/>
      <c r="T106" s="190"/>
      <c r="U106" s="5"/>
      <c r="V106" s="190"/>
      <c r="W106" s="190"/>
      <c r="X106" s="190"/>
      <c r="Y106" s="190"/>
      <c r="Z106" s="190"/>
      <c r="AA106" s="190"/>
      <c r="AB106" s="190"/>
      <c r="AC106" s="190"/>
      <c r="AD106" s="190"/>
      <c r="AE106" s="190"/>
      <c r="AF106" s="190"/>
      <c r="AG106" s="190"/>
      <c r="AH106" s="190"/>
      <c r="AI106" s="190"/>
      <c r="AJ106" s="190"/>
      <c r="AK106" s="3"/>
      <c r="AM106" s="2"/>
      <c r="AN106" s="190"/>
      <c r="AP106" s="190"/>
      <c r="AQ106" s="190"/>
      <c r="AR106" s="190"/>
      <c r="AS106" s="190"/>
      <c r="AT106" s="190"/>
      <c r="AU106" s="190"/>
      <c r="AV106" s="190"/>
      <c r="AW106" s="190"/>
      <c r="AX106" s="190"/>
      <c r="AY106" s="190"/>
      <c r="AZ106" s="190"/>
      <c r="BA106" s="190"/>
      <c r="BB106" s="190"/>
      <c r="BC106" s="190"/>
      <c r="BD106" s="190"/>
      <c r="BE106" s="190"/>
      <c r="BF106" s="190"/>
      <c r="BG106" s="190"/>
    </row>
    <row r="107" spans="4:59" ht="20.100000000000001" customHeight="1" x14ac:dyDescent="0.25">
      <c r="D107" s="2"/>
      <c r="E107" s="2"/>
      <c r="F107" s="2"/>
      <c r="G107" s="2"/>
      <c r="H107" s="2"/>
      <c r="I107" s="190"/>
      <c r="J107" s="190"/>
      <c r="K107" s="190"/>
      <c r="L107" s="190"/>
      <c r="M107" s="3"/>
      <c r="N107" s="4"/>
      <c r="O107" s="4"/>
      <c r="P107" s="190"/>
      <c r="Q107" s="2"/>
      <c r="R107" s="2"/>
      <c r="S107" s="190"/>
      <c r="T107" s="190"/>
      <c r="U107" s="5"/>
      <c r="V107" s="190"/>
      <c r="W107" s="190"/>
      <c r="X107" s="190"/>
      <c r="Y107" s="190"/>
      <c r="Z107" s="190"/>
      <c r="AA107" s="190"/>
      <c r="AB107" s="190"/>
      <c r="AC107" s="190"/>
      <c r="AD107" s="190"/>
      <c r="AE107" s="190"/>
      <c r="AF107" s="190"/>
      <c r="AG107" s="190"/>
      <c r="AH107" s="190"/>
      <c r="AI107" s="190"/>
      <c r="AJ107" s="190"/>
      <c r="AK107" s="3"/>
      <c r="AM107" s="2"/>
      <c r="AN107" s="190"/>
      <c r="AP107" s="190"/>
      <c r="AQ107" s="190"/>
      <c r="AR107" s="190"/>
      <c r="AS107" s="190"/>
      <c r="AT107" s="190"/>
      <c r="AU107" s="190"/>
      <c r="AV107" s="190"/>
      <c r="AW107" s="190"/>
      <c r="AX107" s="190"/>
      <c r="AY107" s="190"/>
      <c r="AZ107" s="190"/>
      <c r="BA107" s="190"/>
      <c r="BB107" s="190"/>
      <c r="BC107" s="190"/>
      <c r="BD107" s="190"/>
      <c r="BE107" s="190"/>
      <c r="BF107" s="190"/>
      <c r="BG107" s="190"/>
    </row>
    <row r="108" spans="4:59" ht="20.100000000000001" customHeight="1" x14ac:dyDescent="0.25">
      <c r="AB108" s="190"/>
      <c r="AC108" s="190"/>
      <c r="AD108" s="190"/>
      <c r="AE108" s="190"/>
      <c r="AJ108" s="190"/>
      <c r="AM108" s="2"/>
      <c r="AN108" s="190"/>
      <c r="AP108" s="190"/>
      <c r="AQ108" s="190"/>
      <c r="AR108" s="190"/>
      <c r="AS108" s="190"/>
      <c r="AT108" s="190"/>
      <c r="AU108" s="190"/>
      <c r="AV108" s="190"/>
      <c r="AW108" s="190"/>
      <c r="AX108" s="190"/>
      <c r="AY108" s="190"/>
      <c r="AZ108" s="190"/>
      <c r="BA108" s="190"/>
      <c r="BB108" s="190"/>
      <c r="BC108" s="190"/>
      <c r="BD108" s="190"/>
      <c r="BE108" s="190"/>
      <c r="BF108" s="190"/>
      <c r="BG108" s="190"/>
    </row>
    <row r="109" spans="4:59" ht="20.100000000000001" customHeight="1" x14ac:dyDescent="0.25">
      <c r="AB109" s="190"/>
      <c r="AC109" s="190"/>
      <c r="AD109" s="190"/>
      <c r="AE109" s="190"/>
      <c r="AJ109" s="190"/>
      <c r="AM109" s="2"/>
      <c r="AN109" s="190"/>
      <c r="AP109" s="190"/>
      <c r="AQ109" s="190"/>
      <c r="AR109" s="190"/>
      <c r="AS109" s="190"/>
      <c r="AT109" s="190"/>
      <c r="AU109" s="190"/>
      <c r="AV109" s="190"/>
      <c r="AW109" s="190"/>
      <c r="AX109" s="190"/>
      <c r="AY109" s="190"/>
      <c r="AZ109" s="190"/>
      <c r="BA109" s="190"/>
      <c r="BB109" s="190"/>
      <c r="BC109" s="190"/>
      <c r="BD109" s="190"/>
      <c r="BE109" s="190"/>
      <c r="BF109" s="190"/>
      <c r="BG109" s="190"/>
    </row>
    <row r="110" spans="4:59" ht="20.100000000000001" customHeight="1" x14ac:dyDescent="0.25">
      <c r="AB110" s="190"/>
      <c r="AC110" s="190"/>
      <c r="AD110" s="190"/>
      <c r="AE110" s="190"/>
      <c r="AJ110" s="190"/>
      <c r="AM110" s="2"/>
      <c r="AN110" s="190"/>
      <c r="AP110" s="190"/>
      <c r="AQ110" s="190"/>
      <c r="AR110" s="190"/>
      <c r="AS110" s="190"/>
      <c r="AT110" s="190"/>
      <c r="AU110" s="190"/>
      <c r="AV110" s="190"/>
      <c r="AW110" s="190"/>
      <c r="AX110" s="190"/>
      <c r="AY110" s="190"/>
      <c r="AZ110" s="190"/>
      <c r="BA110" s="190"/>
      <c r="BB110" s="190"/>
      <c r="BC110" s="190"/>
      <c r="BD110" s="190"/>
      <c r="BE110" s="190"/>
      <c r="BF110" s="190"/>
      <c r="BG110" s="190"/>
    </row>
    <row r="111" spans="4:59" ht="20.100000000000001" customHeight="1" x14ac:dyDescent="0.25">
      <c r="AB111" s="190"/>
      <c r="AC111" s="190"/>
      <c r="AD111" s="190"/>
      <c r="AE111" s="190"/>
      <c r="AJ111" s="190"/>
      <c r="AM111" s="2"/>
      <c r="AN111" s="190"/>
      <c r="AP111" s="190"/>
      <c r="AQ111" s="190"/>
      <c r="AR111" s="190"/>
      <c r="AS111" s="190"/>
      <c r="AT111" s="190"/>
      <c r="AU111" s="190"/>
      <c r="AV111" s="190"/>
      <c r="AW111" s="190"/>
      <c r="AX111" s="190"/>
      <c r="AY111" s="190"/>
      <c r="AZ111" s="190"/>
      <c r="BA111" s="190"/>
      <c r="BB111" s="190"/>
      <c r="BC111" s="190"/>
      <c r="BD111" s="190"/>
      <c r="BE111" s="190"/>
      <c r="BF111" s="190"/>
      <c r="BG111" s="190"/>
    </row>
    <row r="112" spans="4:59" ht="20.100000000000001" customHeight="1" x14ac:dyDescent="0.25">
      <c r="AB112" s="190"/>
      <c r="AC112" s="190"/>
      <c r="AD112" s="190"/>
      <c r="AE112" s="190"/>
      <c r="AJ112" s="190"/>
      <c r="AM112" s="2"/>
      <c r="AN112" s="190"/>
      <c r="AP112" s="190"/>
      <c r="AQ112" s="190"/>
      <c r="AR112" s="190"/>
      <c r="AS112" s="190"/>
      <c r="AT112" s="190"/>
      <c r="AU112" s="190"/>
      <c r="AV112" s="190"/>
      <c r="AW112" s="190"/>
      <c r="AX112" s="190"/>
      <c r="AY112" s="190"/>
      <c r="AZ112" s="190"/>
      <c r="BA112" s="190"/>
      <c r="BB112" s="190"/>
      <c r="BC112" s="190"/>
      <c r="BD112" s="190"/>
      <c r="BE112" s="190"/>
      <c r="BF112" s="190"/>
      <c r="BG112" s="190"/>
    </row>
    <row r="113" spans="28:59" ht="20.100000000000001" customHeight="1" x14ac:dyDescent="0.25">
      <c r="AB113" s="190"/>
      <c r="AC113" s="190"/>
      <c r="AD113" s="190"/>
      <c r="AE113" s="190"/>
      <c r="AJ113" s="190"/>
      <c r="AM113" s="2"/>
      <c r="AN113" s="190"/>
      <c r="AP113" s="190"/>
      <c r="AQ113" s="190"/>
      <c r="AR113" s="190"/>
      <c r="AS113" s="190"/>
      <c r="AT113" s="190"/>
      <c r="AU113" s="190"/>
      <c r="AV113" s="190"/>
      <c r="AW113" s="190"/>
      <c r="AX113" s="190"/>
      <c r="AY113" s="190"/>
      <c r="AZ113" s="190"/>
      <c r="BA113" s="190"/>
      <c r="BB113" s="190"/>
      <c r="BC113" s="190"/>
      <c r="BD113" s="190"/>
      <c r="BE113" s="190"/>
      <c r="BF113" s="190"/>
      <c r="BG113" s="190"/>
    </row>
    <row r="114" spans="28:59" ht="20.100000000000001" customHeight="1" x14ac:dyDescent="0.25">
      <c r="AB114" s="190"/>
      <c r="AC114" s="190"/>
      <c r="AD114" s="190"/>
      <c r="AE114" s="190"/>
      <c r="AJ114" s="190"/>
      <c r="AM114" s="2"/>
      <c r="AN114" s="190"/>
      <c r="AP114" s="190"/>
      <c r="AQ114" s="190"/>
      <c r="AR114" s="190"/>
      <c r="AS114" s="190"/>
      <c r="AT114" s="190"/>
      <c r="AU114" s="190"/>
      <c r="AV114" s="190"/>
      <c r="AW114" s="190"/>
      <c r="AX114" s="190"/>
      <c r="AY114" s="190"/>
      <c r="AZ114" s="190"/>
      <c r="BA114" s="190"/>
      <c r="BB114" s="190"/>
      <c r="BC114" s="190"/>
      <c r="BD114" s="190"/>
      <c r="BE114" s="190"/>
      <c r="BF114" s="190"/>
      <c r="BG114" s="190"/>
    </row>
    <row r="115" spans="28:59" ht="20.100000000000001" customHeight="1" x14ac:dyDescent="0.25">
      <c r="AB115" s="190"/>
      <c r="AC115" s="190"/>
      <c r="AD115" s="190"/>
      <c r="AE115" s="190"/>
      <c r="AJ115" s="190"/>
      <c r="AM115" s="2"/>
      <c r="AN115" s="190"/>
      <c r="AP115" s="190"/>
      <c r="AQ115" s="190"/>
      <c r="AR115" s="190"/>
      <c r="AS115" s="190"/>
      <c r="AT115" s="190"/>
      <c r="AU115" s="190"/>
      <c r="AV115" s="190"/>
      <c r="AW115" s="190"/>
      <c r="AX115" s="190"/>
      <c r="AY115" s="190"/>
      <c r="AZ115" s="190"/>
      <c r="BA115" s="190"/>
      <c r="BB115" s="190"/>
      <c r="BC115" s="190"/>
      <c r="BD115" s="190"/>
      <c r="BE115" s="190"/>
      <c r="BF115" s="190"/>
      <c r="BG115" s="190"/>
    </row>
    <row r="116" spans="28:59" ht="20.100000000000001" customHeight="1" x14ac:dyDescent="0.25">
      <c r="AB116" s="190"/>
      <c r="AC116" s="190"/>
      <c r="AD116" s="190"/>
      <c r="AE116" s="190"/>
      <c r="AJ116" s="190"/>
      <c r="AM116" s="2"/>
      <c r="AN116" s="190"/>
      <c r="AP116" s="190"/>
      <c r="AQ116" s="190"/>
      <c r="AR116" s="190"/>
      <c r="AS116" s="190"/>
      <c r="AT116" s="190"/>
      <c r="AU116" s="190"/>
      <c r="AV116" s="190"/>
      <c r="AW116" s="190"/>
      <c r="AX116" s="190"/>
      <c r="AY116" s="190"/>
      <c r="AZ116" s="190"/>
      <c r="BA116" s="190"/>
      <c r="BB116" s="190"/>
      <c r="BC116" s="190"/>
      <c r="BD116" s="190"/>
      <c r="BE116" s="190"/>
      <c r="BF116" s="190"/>
      <c r="BG116" s="190"/>
    </row>
    <row r="117" spans="28:59" ht="20.100000000000001" customHeight="1" x14ac:dyDescent="0.25">
      <c r="AB117" s="190"/>
      <c r="AC117" s="190"/>
      <c r="AD117" s="190"/>
      <c r="AE117" s="190"/>
      <c r="AJ117" s="190"/>
      <c r="AM117" s="2"/>
      <c r="AN117" s="190"/>
      <c r="AP117" s="190"/>
      <c r="AQ117" s="190"/>
      <c r="AR117" s="190"/>
      <c r="AS117" s="190"/>
      <c r="AT117" s="190"/>
      <c r="AU117" s="190"/>
      <c r="AV117" s="190"/>
      <c r="AW117" s="190"/>
      <c r="AX117" s="190"/>
      <c r="AY117" s="190"/>
      <c r="AZ117" s="190"/>
      <c r="BA117" s="190"/>
      <c r="BB117" s="190"/>
      <c r="BC117" s="190"/>
      <c r="BD117" s="190"/>
      <c r="BE117" s="190"/>
      <c r="BF117" s="190"/>
      <c r="BG117" s="190"/>
    </row>
    <row r="118" spans="28:59" ht="20.100000000000001" customHeight="1" x14ac:dyDescent="0.25">
      <c r="AM118" s="2"/>
    </row>
    <row r="119" spans="28:59" ht="20.100000000000001" customHeight="1" x14ac:dyDescent="0.25">
      <c r="AM119" s="2"/>
    </row>
    <row r="120" spans="28:59" ht="20.100000000000001" customHeight="1" x14ac:dyDescent="0.25">
      <c r="AM120" s="2"/>
    </row>
    <row r="121" spans="28:59" ht="20.100000000000001" customHeight="1" x14ac:dyDescent="0.25">
      <c r="AM121" s="2"/>
    </row>
    <row r="122" spans="28:59" ht="20.100000000000001" customHeight="1" x14ac:dyDescent="0.25">
      <c r="AM122" s="2"/>
    </row>
    <row r="123" spans="28:59" ht="20.100000000000001" customHeight="1" x14ac:dyDescent="0.25">
      <c r="AM123" s="2"/>
    </row>
    <row r="124" spans="28:59" ht="20.100000000000001" customHeight="1" x14ac:dyDescent="0.25">
      <c r="AM124" s="2"/>
    </row>
    <row r="125" spans="28:59" ht="20.100000000000001" customHeight="1" x14ac:dyDescent="0.25">
      <c r="AM125" s="2"/>
    </row>
    <row r="126" spans="28:59" ht="20.100000000000001" customHeight="1" x14ac:dyDescent="0.25">
      <c r="AM126" s="2"/>
    </row>
    <row r="127" spans="28:59" ht="20.100000000000001" customHeight="1" x14ac:dyDescent="0.25">
      <c r="AM127" s="2"/>
    </row>
    <row r="128" spans="28:59" ht="20.100000000000001" customHeight="1" x14ac:dyDescent="0.25">
      <c r="AM128" s="2"/>
    </row>
    <row r="129" spans="39:39" ht="20.100000000000001" customHeight="1" x14ac:dyDescent="0.25">
      <c r="AM129" s="2"/>
    </row>
    <row r="130" spans="39:39" ht="20.100000000000001" customHeight="1" x14ac:dyDescent="0.25">
      <c r="AM130" s="2"/>
    </row>
    <row r="131" spans="39:39" ht="20.100000000000001" customHeight="1" x14ac:dyDescent="0.25">
      <c r="AM131" s="2"/>
    </row>
    <row r="132" spans="39:39" ht="20.100000000000001" customHeight="1" x14ac:dyDescent="0.25">
      <c r="AM132" s="2"/>
    </row>
    <row r="133" spans="39:39" ht="20.100000000000001" customHeight="1" x14ac:dyDescent="0.25">
      <c r="AM133" s="2"/>
    </row>
    <row r="134" spans="39:39" ht="20.100000000000001" customHeight="1" x14ac:dyDescent="0.25">
      <c r="AM134" s="2"/>
    </row>
    <row r="135" spans="39:39" ht="20.100000000000001" customHeight="1" x14ac:dyDescent="0.25">
      <c r="AM135" s="2"/>
    </row>
    <row r="136" spans="39:39" ht="20.100000000000001" customHeight="1" x14ac:dyDescent="0.25">
      <c r="AM136" s="2"/>
    </row>
    <row r="137" spans="39:39" ht="20.100000000000001" customHeight="1" x14ac:dyDescent="0.25">
      <c r="AM137" s="2"/>
    </row>
    <row r="138" spans="39:39" ht="20.100000000000001" customHeight="1" x14ac:dyDescent="0.25">
      <c r="AM138" s="2"/>
    </row>
    <row r="139" spans="39:39" ht="20.100000000000001" customHeight="1" x14ac:dyDescent="0.25">
      <c r="AM139" s="2"/>
    </row>
    <row r="140" spans="39:39" ht="20.100000000000001" customHeight="1" x14ac:dyDescent="0.25">
      <c r="AM140" s="2"/>
    </row>
    <row r="141" spans="39:39" ht="20.100000000000001" customHeight="1" x14ac:dyDescent="0.25">
      <c r="AM141" s="2"/>
    </row>
    <row r="142" spans="39:39" ht="20.100000000000001" customHeight="1" x14ac:dyDescent="0.25">
      <c r="AM142" s="2"/>
    </row>
  </sheetData>
  <sheetProtection algorithmName="SHA-512" hashValue="DDj2D/Uoek7WiYjJ2oHG64KoUC3k+D7EHmsjPsgU3i2SJQYshWUx/RBnGiuHCTdzpEtozYSgwbpVttQNGQHmLQ==" saltValue="CfIeCF2x9jEWZEYFnZiVdQ==" spinCount="100000" sheet="1" objects="1" scenarios="1"/>
  <dataConsolidate/>
  <mergeCells count="155">
    <mergeCell ref="BD36:BE36"/>
    <mergeCell ref="A29:S29"/>
    <mergeCell ref="AN4:AO4"/>
    <mergeCell ref="AN28:AQ28"/>
    <mergeCell ref="AU9:AY9"/>
    <mergeCell ref="AL16:AM16"/>
    <mergeCell ref="AL19:AM19"/>
    <mergeCell ref="AL22:AM22"/>
    <mergeCell ref="AL25:AM25"/>
    <mergeCell ref="AR14:AS14"/>
    <mergeCell ref="AI14:AQ14"/>
    <mergeCell ref="AU18:AU21"/>
    <mergeCell ref="AX11:AY11"/>
    <mergeCell ref="AX12:AY12"/>
    <mergeCell ref="AX13:AY13"/>
    <mergeCell ref="AX14:AY14"/>
    <mergeCell ref="AX17:AY17"/>
    <mergeCell ref="AX18:AY18"/>
    <mergeCell ref="AX19:AY19"/>
    <mergeCell ref="AX20:AY20"/>
    <mergeCell ref="A24:C24"/>
    <mergeCell ref="A25:C25"/>
    <mergeCell ref="A26:C26"/>
    <mergeCell ref="A1:S3"/>
    <mergeCell ref="A4:S4"/>
    <mergeCell ref="B6:R6"/>
    <mergeCell ref="Q16:R16"/>
    <mergeCell ref="Q17:R17"/>
    <mergeCell ref="A8:C8"/>
    <mergeCell ref="K8:M8"/>
    <mergeCell ref="D8:I8"/>
    <mergeCell ref="D10:I10"/>
    <mergeCell ref="D12:I12"/>
    <mergeCell ref="N10:S10"/>
    <mergeCell ref="N8:S8"/>
    <mergeCell ref="K10:M10"/>
    <mergeCell ref="G16:H16"/>
    <mergeCell ref="K12:M12"/>
    <mergeCell ref="A16:C16"/>
    <mergeCell ref="A17:C19"/>
    <mergeCell ref="E17:F17"/>
    <mergeCell ref="G19:H19"/>
    <mergeCell ref="O18:P18"/>
    <mergeCell ref="A10:C10"/>
    <mergeCell ref="A12:C12"/>
    <mergeCell ref="Q18:R18"/>
    <mergeCell ref="G17:H17"/>
    <mergeCell ref="A27:C27"/>
    <mergeCell ref="G27:H27"/>
    <mergeCell ref="D26:F26"/>
    <mergeCell ref="M24:S24"/>
    <mergeCell ref="I23:J23"/>
    <mergeCell ref="D25:F25"/>
    <mergeCell ref="I24:J24"/>
    <mergeCell ref="G22:H22"/>
    <mergeCell ref="G23:H23"/>
    <mergeCell ref="G24:H24"/>
    <mergeCell ref="D22:F23"/>
    <mergeCell ref="D24:F24"/>
    <mergeCell ref="Q19:R19"/>
    <mergeCell ref="K23:L23"/>
    <mergeCell ref="K18:M19"/>
    <mergeCell ref="E19:F19"/>
    <mergeCell ref="E18:F18"/>
    <mergeCell ref="V4:AC4"/>
    <mergeCell ref="V5:W6"/>
    <mergeCell ref="X5:Z5"/>
    <mergeCell ref="AA5:AC5"/>
    <mergeCell ref="A21:S21"/>
    <mergeCell ref="V22:V24"/>
    <mergeCell ref="AA22:AA24"/>
    <mergeCell ref="O19:P19"/>
    <mergeCell ref="G18:H18"/>
    <mergeCell ref="K16:M17"/>
    <mergeCell ref="A15:S15"/>
    <mergeCell ref="V19:V21"/>
    <mergeCell ref="M25:S25"/>
    <mergeCell ref="D27:F27"/>
    <mergeCell ref="G25:H25"/>
    <mergeCell ref="I25:J25"/>
    <mergeCell ref="G26:H26"/>
    <mergeCell ref="M22:S23"/>
    <mergeCell ref="I26:J26"/>
    <mergeCell ref="T22:T23"/>
    <mergeCell ref="I22:J22"/>
    <mergeCell ref="K22:L22"/>
    <mergeCell ref="I27:J27"/>
    <mergeCell ref="K24:L24"/>
    <mergeCell ref="K25:L25"/>
    <mergeCell ref="K26:L26"/>
    <mergeCell ref="K27:L27"/>
    <mergeCell ref="M26:S26"/>
    <mergeCell ref="M27:S27"/>
    <mergeCell ref="V15:V18"/>
    <mergeCell ref="AX22:AY22"/>
    <mergeCell ref="AX23:AY23"/>
    <mergeCell ref="V25:V27"/>
    <mergeCell ref="AA25:AA27"/>
    <mergeCell ref="AD25:AD27"/>
    <mergeCell ref="W19:W21"/>
    <mergeCell ref="W22:W24"/>
    <mergeCell ref="V2:W2"/>
    <mergeCell ref="W25:W27"/>
    <mergeCell ref="AX24:AY24"/>
    <mergeCell ref="AD22:AD24"/>
    <mergeCell ref="AG6:AI6"/>
    <mergeCell ref="AJ6:AL6"/>
    <mergeCell ref="AE4:AL4"/>
    <mergeCell ref="AG5:AI5"/>
    <mergeCell ref="AJ5:AL5"/>
    <mergeCell ref="AE5:AF6"/>
    <mergeCell ref="BA9:BE9"/>
    <mergeCell ref="BD17:BE17"/>
    <mergeCell ref="BD20:BE20"/>
    <mergeCell ref="BD23:BE23"/>
    <mergeCell ref="BD18:BE18"/>
    <mergeCell ref="BD21:BE21"/>
    <mergeCell ref="BD24:BE24"/>
    <mergeCell ref="BD19:BE19"/>
    <mergeCell ref="BD22:BE22"/>
    <mergeCell ref="BA10:BA20"/>
    <mergeCell ref="BD14:BE14"/>
    <mergeCell ref="BD15:BE15"/>
    <mergeCell ref="BB14:BB16"/>
    <mergeCell ref="BB17:BB19"/>
    <mergeCell ref="BD10:BE10"/>
    <mergeCell ref="BD11:BE11"/>
    <mergeCell ref="BD12:BE12"/>
    <mergeCell ref="BD13:BE13"/>
    <mergeCell ref="BD16:BE16"/>
    <mergeCell ref="BB20:BB22"/>
    <mergeCell ref="A41:S41"/>
    <mergeCell ref="A42:M42"/>
    <mergeCell ref="N42:S42"/>
    <mergeCell ref="A40:S40"/>
    <mergeCell ref="A38:S38"/>
    <mergeCell ref="A39:S39"/>
    <mergeCell ref="N12:S12"/>
    <mergeCell ref="BD31:BE31"/>
    <mergeCell ref="BD33:BE33"/>
    <mergeCell ref="BB23:BB25"/>
    <mergeCell ref="BD25:BE25"/>
    <mergeCell ref="BD26:BE26"/>
    <mergeCell ref="BD27:BE27"/>
    <mergeCell ref="BD28:BE28"/>
    <mergeCell ref="AU11:AU17"/>
    <mergeCell ref="AA19:AA21"/>
    <mergeCell ref="AD19:AD21"/>
    <mergeCell ref="W16:W18"/>
    <mergeCell ref="AA16:AA18"/>
    <mergeCell ref="AD16:AD18"/>
    <mergeCell ref="AX21:AY21"/>
    <mergeCell ref="AX15:AY15"/>
    <mergeCell ref="AU22:AU27"/>
    <mergeCell ref="V14:AG14"/>
  </mergeCells>
  <conditionalFormatting sqref="G18:H18">
    <cfRule type="cellIs" dxfId="8" priority="15" operator="greaterThan">
      <formula>3000</formula>
    </cfRule>
  </conditionalFormatting>
  <conditionalFormatting sqref="G24:H27">
    <cfRule type="expression" dxfId="7" priority="4">
      <formula>$U24="nein"</formula>
    </cfRule>
  </conditionalFormatting>
  <conditionalFormatting sqref="G19:H19">
    <cfRule type="cellIs" dxfId="6" priority="3" operator="lessThan">
      <formula>$G$18</formula>
    </cfRule>
  </conditionalFormatting>
  <conditionalFormatting sqref="K25">
    <cfRule type="expression" dxfId="5" priority="96">
      <formula>($K$25+$Y$2+$Q$17+$G$25)&gt;3000</formula>
    </cfRule>
  </conditionalFormatting>
  <conditionalFormatting sqref="K26:L26">
    <cfRule type="expression" dxfId="4" priority="97">
      <formula>($K$26+$Y$2+$Q$17+$G$26)&gt;3000</formula>
    </cfRule>
  </conditionalFormatting>
  <conditionalFormatting sqref="K27:L27">
    <cfRule type="expression" dxfId="3" priority="98">
      <formula>($K$27+$Y$2+$Q$17+$G$27)&gt;3000</formula>
    </cfRule>
  </conditionalFormatting>
  <conditionalFormatting sqref="I26:J26">
    <cfRule type="cellIs" dxfId="2" priority="99" operator="notBetween">
      <formula>$AF$23</formula>
      <formula>$AF$24</formula>
    </cfRule>
  </conditionalFormatting>
  <conditionalFormatting sqref="I27:J27">
    <cfRule type="cellIs" dxfId="1" priority="100" operator="notBetween">
      <formula>$AF$26</formula>
      <formula>$AF$27</formula>
    </cfRule>
  </conditionalFormatting>
  <conditionalFormatting sqref="I25:J25">
    <cfRule type="cellIs" dxfId="0" priority="101" operator="notBetween">
      <formula>$AF$20</formula>
      <formula>$AF$21</formula>
    </cfRule>
  </conditionalFormatting>
  <dataValidations disablePrompts="1" count="4">
    <dataValidation type="list" allowBlank="1" showInputMessage="1" sqref="D24:F27" xr:uid="{00000000-0002-0000-0000-000000000000}">
      <formula1>Material</formula1>
    </dataValidation>
    <dataValidation type="list" allowBlank="1" showInputMessage="1" showErrorMessage="1" error="Die Schachtunterteile DN 1500 und DN 2000 sind verfügbar in den Bauhöhen 1250 mm bis 3000 mm." sqref="G19:H19" xr:uid="{00000000-0002-0000-0000-000001000000}">
      <formula1>Hoehe</formula1>
    </dataValidation>
    <dataValidation type="whole" allowBlank="1" showInputMessage="1" showErrorMessage="1" error="Bitte geben Sie nur gültige Abwinklungen ein." sqref="I26:J27" xr:uid="{00000000-0002-0000-0000-000002000000}">
      <formula1>0</formula1>
      <formula2>400</formula2>
    </dataValidation>
    <dataValidation type="list" allowBlank="1" showInputMessage="1" showErrorMessage="1" sqref="G24:H27" xr:uid="{00000000-0002-0000-0000-000003000000}">
      <formula1>DNdR1500</formula1>
    </dataValidation>
  </dataValidations>
  <hyperlinks>
    <hyperlink ref="N42" r:id="rId1" xr:uid="{2D471766-BF4C-4256-A712-F8828C660F86}"/>
  </hyperlinks>
  <printOptions horizontalCentered="1"/>
  <pageMargins left="0.39370078740157483" right="0.39370078740157483" top="0" bottom="0" header="0" footer="0"/>
  <pageSetup paperSize="9" scale="84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4"/>
  <sheetViews>
    <sheetView topLeftCell="Q1" workbookViewId="0">
      <selection activeCell="A2" sqref="A1:P1048576"/>
    </sheetView>
  </sheetViews>
  <sheetFormatPr baseColWidth="10" defaultRowHeight="20.100000000000001" customHeight="1" x14ac:dyDescent="0.25"/>
  <cols>
    <col min="1" max="7" width="11.42578125" style="205" hidden="1" customWidth="1"/>
    <col min="8" max="8" width="12.42578125" style="205" hidden="1" customWidth="1"/>
    <col min="9" max="13" width="11.42578125" style="205" hidden="1" customWidth="1"/>
    <col min="14" max="14" width="13.140625" style="205" hidden="1" customWidth="1"/>
    <col min="15" max="16" width="11.42578125" style="205" hidden="1" customWidth="1"/>
    <col min="17" max="16384" width="11.42578125" style="54"/>
  </cols>
  <sheetData>
    <row r="1" spans="1:16" ht="20.100000000000001" customHeight="1" x14ac:dyDescent="0.25">
      <c r="A1" s="375" t="s">
        <v>54</v>
      </c>
      <c r="B1" s="376"/>
      <c r="C1" s="201"/>
      <c r="D1" s="375" t="s">
        <v>72</v>
      </c>
      <c r="E1" s="380"/>
      <c r="F1" s="380"/>
      <c r="G1" s="380"/>
      <c r="H1" s="376"/>
      <c r="J1" s="203" t="s">
        <v>24</v>
      </c>
      <c r="K1" s="204">
        <v>1500</v>
      </c>
      <c r="L1" s="206"/>
      <c r="N1" s="207" t="s">
        <v>12</v>
      </c>
      <c r="P1" s="207" t="s">
        <v>23</v>
      </c>
    </row>
    <row r="2" spans="1:16" ht="20.100000000000001" customHeight="1" x14ac:dyDescent="0.25">
      <c r="A2" s="51"/>
      <c r="B2" s="202"/>
      <c r="C2" s="201"/>
      <c r="D2" s="51"/>
      <c r="E2" s="377" t="s">
        <v>105</v>
      </c>
      <c r="F2" s="377" t="s">
        <v>88</v>
      </c>
      <c r="G2" s="377" t="s">
        <v>102</v>
      </c>
      <c r="H2" s="379" t="s">
        <v>103</v>
      </c>
      <c r="J2" s="51" t="s">
        <v>7</v>
      </c>
      <c r="K2" s="377" t="s">
        <v>76</v>
      </c>
      <c r="L2" s="378"/>
      <c r="N2" s="208"/>
      <c r="P2" s="208"/>
    </row>
    <row r="3" spans="1:16" ht="20.100000000000001" customHeight="1" x14ac:dyDescent="0.25">
      <c r="A3" s="51"/>
      <c r="B3" s="202"/>
      <c r="C3" s="201"/>
      <c r="D3" s="51"/>
      <c r="E3" s="377"/>
      <c r="F3" s="377"/>
      <c r="G3" s="377"/>
      <c r="H3" s="379"/>
      <c r="J3" s="51"/>
      <c r="K3" s="201" t="s">
        <v>77</v>
      </c>
      <c r="L3" s="202" t="s">
        <v>78</v>
      </c>
      <c r="N3" s="208"/>
      <c r="P3" s="208"/>
    </row>
    <row r="4" spans="1:16" ht="20.100000000000001" customHeight="1" x14ac:dyDescent="0.25">
      <c r="A4" s="52" t="s">
        <v>55</v>
      </c>
      <c r="B4" s="209">
        <v>55</v>
      </c>
      <c r="C4" s="49"/>
      <c r="D4" s="52" t="s">
        <v>60</v>
      </c>
      <c r="E4" s="49" t="s">
        <v>75</v>
      </c>
      <c r="F4" s="49" t="s">
        <v>83</v>
      </c>
      <c r="G4" s="49" t="s">
        <v>75</v>
      </c>
      <c r="H4" s="209" t="s">
        <v>104</v>
      </c>
      <c r="I4" s="49"/>
      <c r="J4" s="52" t="s">
        <v>8</v>
      </c>
      <c r="K4" s="49" t="s">
        <v>32</v>
      </c>
      <c r="L4" s="209"/>
      <c r="N4" s="47">
        <v>1250</v>
      </c>
      <c r="P4" s="47" t="s">
        <v>31</v>
      </c>
    </row>
    <row r="5" spans="1:16" ht="20.100000000000001" customHeight="1" x14ac:dyDescent="0.25">
      <c r="A5" s="52" t="s">
        <v>56</v>
      </c>
      <c r="B5" s="209">
        <v>75</v>
      </c>
      <c r="C5" s="49"/>
      <c r="D5" s="52" t="s">
        <v>73</v>
      </c>
      <c r="E5" s="49">
        <v>0.75</v>
      </c>
      <c r="F5" s="210">
        <f>((G5/2)^2)/2*(H5-(SIN(H5)))</f>
        <v>3.1605547107644995E-2</v>
      </c>
      <c r="G5" s="49">
        <f>'Schacht DN 1500 '!AX13</f>
        <v>2.2999999999999998</v>
      </c>
      <c r="H5" s="211">
        <f>2*ASIN(E5/G5)</f>
        <v>0.66432261108411994</v>
      </c>
      <c r="I5" s="49"/>
      <c r="J5" s="52">
        <v>100</v>
      </c>
      <c r="K5" s="49">
        <f>400/(PI()*$K$1)*(2*($K$1/2)*ASIN((J5)/$K$1))</f>
        <v>8.4945638428318766</v>
      </c>
      <c r="L5" s="209">
        <f>ROUNDUP(K5,0)</f>
        <v>9</v>
      </c>
      <c r="N5" s="47">
        <f>N4+25</f>
        <v>1275</v>
      </c>
      <c r="P5" s="47" t="s">
        <v>35</v>
      </c>
    </row>
    <row r="6" spans="1:16" ht="20.100000000000001" customHeight="1" x14ac:dyDescent="0.25">
      <c r="A6" s="52" t="s">
        <v>61</v>
      </c>
      <c r="B6" s="209">
        <v>75</v>
      </c>
      <c r="C6" s="49"/>
      <c r="D6" s="53" t="s">
        <v>74</v>
      </c>
      <c r="E6" s="55">
        <v>1.44</v>
      </c>
      <c r="F6" s="212">
        <f>((G6/2)^2)/2*(H6-(SIN(H6)))</f>
        <v>0.24906826753696379</v>
      </c>
      <c r="G6" s="55">
        <f>'Schacht DN 1500 '!AX13</f>
        <v>2.2999999999999998</v>
      </c>
      <c r="H6" s="213">
        <f>2*ASIN(E6/G6)</f>
        <v>1.3530494582729378</v>
      </c>
      <c r="I6" s="49"/>
      <c r="J6" s="52">
        <v>150</v>
      </c>
      <c r="K6" s="49">
        <f t="shared" ref="K6:K18" si="0">400/(PI()*$K$1)*(2*($K$1/2)*ASIN((J6)/$K$1))</f>
        <v>12.753712171703972</v>
      </c>
      <c r="L6" s="209">
        <f t="shared" ref="L6:L18" si="1">ROUNDUP(K6,0)</f>
        <v>13</v>
      </c>
      <c r="N6" s="47">
        <f t="shared" ref="N6:N69" si="2">N5+25</f>
        <v>1300</v>
      </c>
      <c r="P6" s="47" t="s">
        <v>38</v>
      </c>
    </row>
    <row r="7" spans="1:16" ht="20.100000000000001" customHeight="1" x14ac:dyDescent="0.25">
      <c r="A7" s="53" t="s">
        <v>57</v>
      </c>
      <c r="B7" s="214">
        <v>90</v>
      </c>
      <c r="C7" s="49"/>
      <c r="D7" s="49"/>
      <c r="E7" s="49"/>
      <c r="F7" s="49"/>
      <c r="G7" s="49"/>
      <c r="H7" s="49"/>
      <c r="J7" s="52">
        <v>200</v>
      </c>
      <c r="K7" s="49">
        <f t="shared" si="0"/>
        <v>17.027234801702367</v>
      </c>
      <c r="L7" s="209">
        <f t="shared" si="1"/>
        <v>18</v>
      </c>
      <c r="N7" s="47">
        <f t="shared" si="2"/>
        <v>1325</v>
      </c>
      <c r="P7" s="47" t="s">
        <v>42</v>
      </c>
    </row>
    <row r="8" spans="1:16" ht="20.100000000000001" customHeight="1" x14ac:dyDescent="0.25">
      <c r="J8" s="52">
        <v>250</v>
      </c>
      <c r="K8" s="49">
        <f t="shared" si="0"/>
        <v>21.320151615245475</v>
      </c>
      <c r="L8" s="209">
        <f t="shared" si="1"/>
        <v>22</v>
      </c>
      <c r="N8" s="47">
        <f t="shared" si="2"/>
        <v>1350</v>
      </c>
      <c r="P8" s="215" t="s">
        <v>134</v>
      </c>
    </row>
    <row r="9" spans="1:16" ht="20.100000000000001" customHeight="1" x14ac:dyDescent="0.25">
      <c r="J9" s="52">
        <v>300</v>
      </c>
      <c r="K9" s="49">
        <f t="shared" si="0"/>
        <v>25.637686739589977</v>
      </c>
      <c r="L9" s="209">
        <f t="shared" si="1"/>
        <v>26</v>
      </c>
      <c r="N9" s="47">
        <f t="shared" si="2"/>
        <v>1375</v>
      </c>
      <c r="P9" s="215" t="s">
        <v>135</v>
      </c>
    </row>
    <row r="10" spans="1:16" ht="20.100000000000001" customHeight="1" x14ac:dyDescent="0.25">
      <c r="J10" s="52">
        <v>400</v>
      </c>
      <c r="K10" s="49">
        <f t="shared" si="0"/>
        <v>34.368911007601227</v>
      </c>
      <c r="L10" s="209">
        <f t="shared" si="1"/>
        <v>35</v>
      </c>
      <c r="N10" s="47">
        <f t="shared" si="2"/>
        <v>1400</v>
      </c>
      <c r="P10" s="215" t="s">
        <v>136</v>
      </c>
    </row>
    <row r="11" spans="1:16" ht="20.100000000000001" customHeight="1" x14ac:dyDescent="0.25">
      <c r="J11" s="52">
        <v>500</v>
      </c>
      <c r="K11" s="49">
        <f t="shared" si="0"/>
        <v>43.269379187757096</v>
      </c>
      <c r="L11" s="209">
        <f t="shared" si="1"/>
        <v>44</v>
      </c>
      <c r="N11" s="47">
        <f t="shared" si="2"/>
        <v>1425</v>
      </c>
      <c r="P11" s="215" t="s">
        <v>137</v>
      </c>
    </row>
    <row r="12" spans="1:16" ht="20.100000000000001" customHeight="1" x14ac:dyDescent="0.25">
      <c r="J12" s="52">
        <v>600</v>
      </c>
      <c r="K12" s="49">
        <f t="shared" si="0"/>
        <v>52.395952173781851</v>
      </c>
      <c r="L12" s="209">
        <f t="shared" si="1"/>
        <v>53</v>
      </c>
      <c r="N12" s="47">
        <f t="shared" si="2"/>
        <v>1450</v>
      </c>
      <c r="P12" s="215" t="s">
        <v>138</v>
      </c>
    </row>
    <row r="13" spans="1:16" ht="20.100000000000001" customHeight="1" x14ac:dyDescent="0.25">
      <c r="J13" s="52">
        <v>700</v>
      </c>
      <c r="K13" s="49">
        <f t="shared" si="0"/>
        <v>61.81808729923096</v>
      </c>
      <c r="L13" s="209">
        <f t="shared" si="1"/>
        <v>62</v>
      </c>
      <c r="N13" s="47">
        <f t="shared" si="2"/>
        <v>1475</v>
      </c>
      <c r="P13" s="215" t="s">
        <v>139</v>
      </c>
    </row>
    <row r="14" spans="1:16" ht="20.100000000000001" customHeight="1" x14ac:dyDescent="0.25">
      <c r="J14" s="52">
        <v>800</v>
      </c>
      <c r="K14" s="49">
        <f t="shared" si="0"/>
        <v>71.624339190004704</v>
      </c>
      <c r="L14" s="209">
        <f t="shared" si="1"/>
        <v>72</v>
      </c>
      <c r="N14" s="47">
        <f t="shared" si="2"/>
        <v>1500</v>
      </c>
      <c r="P14" s="48" t="s">
        <v>44</v>
      </c>
    </row>
    <row r="15" spans="1:16" ht="20.100000000000001" customHeight="1" x14ac:dyDescent="0.25">
      <c r="J15" s="52">
        <v>900</v>
      </c>
      <c r="K15" s="49">
        <f t="shared" si="0"/>
        <v>81.933105879653397</v>
      </c>
      <c r="L15" s="209">
        <f t="shared" si="1"/>
        <v>82</v>
      </c>
      <c r="N15" s="47">
        <f t="shared" si="2"/>
        <v>1525</v>
      </c>
    </row>
    <row r="16" spans="1:16" ht="20.100000000000001" customHeight="1" x14ac:dyDescent="0.25">
      <c r="J16" s="52">
        <v>1000</v>
      </c>
      <c r="K16" s="49">
        <f t="shared" si="0"/>
        <v>92.91181087950801</v>
      </c>
      <c r="L16" s="209">
        <f t="shared" si="1"/>
        <v>93</v>
      </c>
      <c r="N16" s="47">
        <f t="shared" si="2"/>
        <v>1550</v>
      </c>
    </row>
    <row r="17" spans="10:14" ht="20.100000000000001" customHeight="1" x14ac:dyDescent="0.25">
      <c r="J17" s="52">
        <v>1100</v>
      </c>
      <c r="K17" s="49">
        <f t="shared" si="0"/>
        <v>104.81460429762832</v>
      </c>
      <c r="L17" s="209">
        <f t="shared" si="1"/>
        <v>105</v>
      </c>
      <c r="N17" s="47">
        <f t="shared" si="2"/>
        <v>1575</v>
      </c>
    </row>
    <row r="18" spans="10:14" ht="20.100000000000001" customHeight="1" x14ac:dyDescent="0.25">
      <c r="J18" s="53">
        <v>1200</v>
      </c>
      <c r="K18" s="55">
        <f t="shared" si="0"/>
        <v>118.06689412034665</v>
      </c>
      <c r="L18" s="214">
        <f t="shared" si="1"/>
        <v>119</v>
      </c>
      <c r="N18" s="47">
        <f>N17+25</f>
        <v>1600</v>
      </c>
    </row>
    <row r="19" spans="10:14" ht="20.100000000000001" customHeight="1" x14ac:dyDescent="0.25">
      <c r="N19" s="47">
        <f t="shared" si="2"/>
        <v>1625</v>
      </c>
    </row>
    <row r="20" spans="10:14" ht="20.100000000000001" customHeight="1" x14ac:dyDescent="0.25">
      <c r="N20" s="47">
        <f t="shared" si="2"/>
        <v>1650</v>
      </c>
    </row>
    <row r="21" spans="10:14" ht="20.100000000000001" customHeight="1" x14ac:dyDescent="0.25">
      <c r="N21" s="47">
        <f t="shared" si="2"/>
        <v>1675</v>
      </c>
    </row>
    <row r="22" spans="10:14" ht="20.100000000000001" customHeight="1" x14ac:dyDescent="0.25">
      <c r="N22" s="47">
        <f t="shared" si="2"/>
        <v>1700</v>
      </c>
    </row>
    <row r="23" spans="10:14" ht="20.100000000000001" customHeight="1" x14ac:dyDescent="0.25">
      <c r="N23" s="47">
        <f t="shared" si="2"/>
        <v>1725</v>
      </c>
    </row>
    <row r="24" spans="10:14" ht="20.100000000000001" customHeight="1" x14ac:dyDescent="0.25">
      <c r="N24" s="47">
        <f t="shared" si="2"/>
        <v>1750</v>
      </c>
    </row>
    <row r="25" spans="10:14" ht="20.100000000000001" customHeight="1" x14ac:dyDescent="0.25">
      <c r="N25" s="47">
        <f t="shared" si="2"/>
        <v>1775</v>
      </c>
    </row>
    <row r="26" spans="10:14" ht="20.100000000000001" customHeight="1" x14ac:dyDescent="0.25">
      <c r="N26" s="47">
        <f t="shared" si="2"/>
        <v>1800</v>
      </c>
    </row>
    <row r="27" spans="10:14" ht="20.100000000000001" customHeight="1" x14ac:dyDescent="0.25">
      <c r="N27" s="47">
        <f t="shared" si="2"/>
        <v>1825</v>
      </c>
    </row>
    <row r="28" spans="10:14" ht="20.100000000000001" customHeight="1" x14ac:dyDescent="0.25">
      <c r="N28" s="47">
        <f t="shared" si="2"/>
        <v>1850</v>
      </c>
    </row>
    <row r="29" spans="10:14" ht="20.100000000000001" customHeight="1" x14ac:dyDescent="0.25">
      <c r="N29" s="47">
        <f t="shared" si="2"/>
        <v>1875</v>
      </c>
    </row>
    <row r="30" spans="10:14" ht="20.100000000000001" customHeight="1" x14ac:dyDescent="0.25">
      <c r="N30" s="47">
        <f t="shared" si="2"/>
        <v>1900</v>
      </c>
    </row>
    <row r="31" spans="10:14" ht="20.100000000000001" customHeight="1" x14ac:dyDescent="0.25">
      <c r="N31" s="47">
        <f t="shared" si="2"/>
        <v>1925</v>
      </c>
    </row>
    <row r="32" spans="10:14" ht="20.100000000000001" customHeight="1" x14ac:dyDescent="0.25">
      <c r="N32" s="47">
        <f t="shared" si="2"/>
        <v>1950</v>
      </c>
    </row>
    <row r="33" spans="14:14" ht="20.100000000000001" customHeight="1" x14ac:dyDescent="0.25">
      <c r="N33" s="47">
        <f t="shared" si="2"/>
        <v>1975</v>
      </c>
    </row>
    <row r="34" spans="14:14" ht="20.100000000000001" customHeight="1" x14ac:dyDescent="0.25">
      <c r="N34" s="47">
        <f t="shared" si="2"/>
        <v>2000</v>
      </c>
    </row>
    <row r="35" spans="14:14" ht="20.100000000000001" customHeight="1" x14ac:dyDescent="0.25">
      <c r="N35" s="47">
        <f t="shared" si="2"/>
        <v>2025</v>
      </c>
    </row>
    <row r="36" spans="14:14" ht="20.100000000000001" customHeight="1" x14ac:dyDescent="0.25">
      <c r="N36" s="47">
        <f t="shared" si="2"/>
        <v>2050</v>
      </c>
    </row>
    <row r="37" spans="14:14" ht="20.100000000000001" customHeight="1" x14ac:dyDescent="0.25">
      <c r="N37" s="47">
        <f t="shared" si="2"/>
        <v>2075</v>
      </c>
    </row>
    <row r="38" spans="14:14" ht="20.100000000000001" customHeight="1" x14ac:dyDescent="0.25">
      <c r="N38" s="47">
        <f t="shared" si="2"/>
        <v>2100</v>
      </c>
    </row>
    <row r="39" spans="14:14" ht="20.100000000000001" customHeight="1" x14ac:dyDescent="0.25">
      <c r="N39" s="47">
        <f t="shared" si="2"/>
        <v>2125</v>
      </c>
    </row>
    <row r="40" spans="14:14" ht="20.100000000000001" customHeight="1" x14ac:dyDescent="0.25">
      <c r="N40" s="47">
        <f t="shared" si="2"/>
        <v>2150</v>
      </c>
    </row>
    <row r="41" spans="14:14" ht="20.100000000000001" customHeight="1" x14ac:dyDescent="0.25">
      <c r="N41" s="47">
        <f t="shared" si="2"/>
        <v>2175</v>
      </c>
    </row>
    <row r="42" spans="14:14" ht="20.100000000000001" customHeight="1" x14ac:dyDescent="0.25">
      <c r="N42" s="47">
        <f t="shared" si="2"/>
        <v>2200</v>
      </c>
    </row>
    <row r="43" spans="14:14" ht="20.100000000000001" customHeight="1" x14ac:dyDescent="0.25">
      <c r="N43" s="47">
        <f t="shared" si="2"/>
        <v>2225</v>
      </c>
    </row>
    <row r="44" spans="14:14" ht="20.100000000000001" customHeight="1" x14ac:dyDescent="0.25">
      <c r="N44" s="47">
        <f t="shared" si="2"/>
        <v>2250</v>
      </c>
    </row>
    <row r="45" spans="14:14" ht="20.100000000000001" customHeight="1" x14ac:dyDescent="0.25">
      <c r="N45" s="47">
        <f t="shared" si="2"/>
        <v>2275</v>
      </c>
    </row>
    <row r="46" spans="14:14" ht="20.100000000000001" customHeight="1" x14ac:dyDescent="0.25">
      <c r="N46" s="47">
        <f t="shared" si="2"/>
        <v>2300</v>
      </c>
    </row>
    <row r="47" spans="14:14" ht="20.100000000000001" customHeight="1" x14ac:dyDescent="0.25">
      <c r="N47" s="47">
        <f t="shared" si="2"/>
        <v>2325</v>
      </c>
    </row>
    <row r="48" spans="14:14" ht="20.100000000000001" customHeight="1" x14ac:dyDescent="0.25">
      <c r="N48" s="47">
        <f t="shared" si="2"/>
        <v>2350</v>
      </c>
    </row>
    <row r="49" spans="14:14" ht="20.100000000000001" customHeight="1" x14ac:dyDescent="0.25">
      <c r="N49" s="47">
        <f t="shared" si="2"/>
        <v>2375</v>
      </c>
    </row>
    <row r="50" spans="14:14" ht="20.100000000000001" customHeight="1" x14ac:dyDescent="0.25">
      <c r="N50" s="47">
        <f t="shared" si="2"/>
        <v>2400</v>
      </c>
    </row>
    <row r="51" spans="14:14" ht="20.100000000000001" customHeight="1" x14ac:dyDescent="0.25">
      <c r="N51" s="47">
        <f t="shared" si="2"/>
        <v>2425</v>
      </c>
    </row>
    <row r="52" spans="14:14" ht="20.100000000000001" customHeight="1" x14ac:dyDescent="0.25">
      <c r="N52" s="47">
        <f t="shared" si="2"/>
        <v>2450</v>
      </c>
    </row>
    <row r="53" spans="14:14" ht="20.100000000000001" customHeight="1" x14ac:dyDescent="0.25">
      <c r="N53" s="47">
        <f t="shared" si="2"/>
        <v>2475</v>
      </c>
    </row>
    <row r="54" spans="14:14" ht="20.100000000000001" customHeight="1" x14ac:dyDescent="0.25">
      <c r="N54" s="47">
        <f t="shared" si="2"/>
        <v>2500</v>
      </c>
    </row>
    <row r="55" spans="14:14" ht="20.100000000000001" customHeight="1" x14ac:dyDescent="0.25">
      <c r="N55" s="47">
        <f t="shared" si="2"/>
        <v>2525</v>
      </c>
    </row>
    <row r="56" spans="14:14" ht="20.100000000000001" customHeight="1" x14ac:dyDescent="0.25">
      <c r="N56" s="47">
        <f t="shared" si="2"/>
        <v>2550</v>
      </c>
    </row>
    <row r="57" spans="14:14" ht="20.100000000000001" customHeight="1" x14ac:dyDescent="0.25">
      <c r="N57" s="47">
        <f t="shared" si="2"/>
        <v>2575</v>
      </c>
    </row>
    <row r="58" spans="14:14" ht="20.100000000000001" customHeight="1" x14ac:dyDescent="0.25">
      <c r="N58" s="47">
        <f t="shared" si="2"/>
        <v>2600</v>
      </c>
    </row>
    <row r="59" spans="14:14" ht="20.100000000000001" customHeight="1" x14ac:dyDescent="0.25">
      <c r="N59" s="47">
        <f t="shared" si="2"/>
        <v>2625</v>
      </c>
    </row>
    <row r="60" spans="14:14" ht="20.100000000000001" customHeight="1" x14ac:dyDescent="0.25">
      <c r="N60" s="47">
        <f t="shared" si="2"/>
        <v>2650</v>
      </c>
    </row>
    <row r="61" spans="14:14" ht="20.100000000000001" customHeight="1" x14ac:dyDescent="0.25">
      <c r="N61" s="47">
        <f t="shared" si="2"/>
        <v>2675</v>
      </c>
    </row>
    <row r="62" spans="14:14" ht="20.100000000000001" customHeight="1" x14ac:dyDescent="0.25">
      <c r="N62" s="47">
        <f t="shared" si="2"/>
        <v>2700</v>
      </c>
    </row>
    <row r="63" spans="14:14" ht="20.100000000000001" customHeight="1" x14ac:dyDescent="0.25">
      <c r="N63" s="47">
        <f t="shared" si="2"/>
        <v>2725</v>
      </c>
    </row>
    <row r="64" spans="14:14" ht="20.100000000000001" customHeight="1" x14ac:dyDescent="0.25">
      <c r="N64" s="47">
        <f t="shared" si="2"/>
        <v>2750</v>
      </c>
    </row>
    <row r="65" spans="14:14" ht="20.100000000000001" customHeight="1" x14ac:dyDescent="0.25">
      <c r="N65" s="47">
        <f t="shared" si="2"/>
        <v>2775</v>
      </c>
    </row>
    <row r="66" spans="14:14" ht="20.100000000000001" customHeight="1" x14ac:dyDescent="0.25">
      <c r="N66" s="47">
        <f t="shared" si="2"/>
        <v>2800</v>
      </c>
    </row>
    <row r="67" spans="14:14" ht="20.100000000000001" customHeight="1" x14ac:dyDescent="0.25">
      <c r="N67" s="47">
        <f t="shared" si="2"/>
        <v>2825</v>
      </c>
    </row>
    <row r="68" spans="14:14" ht="20.100000000000001" customHeight="1" x14ac:dyDescent="0.25">
      <c r="N68" s="47">
        <f t="shared" si="2"/>
        <v>2850</v>
      </c>
    </row>
    <row r="69" spans="14:14" ht="20.100000000000001" customHeight="1" x14ac:dyDescent="0.25">
      <c r="N69" s="47">
        <f t="shared" si="2"/>
        <v>2875</v>
      </c>
    </row>
    <row r="70" spans="14:14" ht="20.100000000000001" customHeight="1" x14ac:dyDescent="0.25">
      <c r="N70" s="47">
        <f t="shared" ref="N70:N74" si="3">N69+25</f>
        <v>2900</v>
      </c>
    </row>
    <row r="71" spans="14:14" ht="20.100000000000001" customHeight="1" x14ac:dyDescent="0.25">
      <c r="N71" s="47">
        <f t="shared" si="3"/>
        <v>2925</v>
      </c>
    </row>
    <row r="72" spans="14:14" ht="20.100000000000001" customHeight="1" x14ac:dyDescent="0.25">
      <c r="N72" s="47">
        <f t="shared" si="3"/>
        <v>2950</v>
      </c>
    </row>
    <row r="73" spans="14:14" ht="20.100000000000001" customHeight="1" x14ac:dyDescent="0.25">
      <c r="N73" s="47">
        <f t="shared" si="3"/>
        <v>2975</v>
      </c>
    </row>
    <row r="74" spans="14:14" ht="20.100000000000001" customHeight="1" x14ac:dyDescent="0.25">
      <c r="N74" s="48">
        <f t="shared" si="3"/>
        <v>3000</v>
      </c>
    </row>
  </sheetData>
  <mergeCells count="7">
    <mergeCell ref="A1:B1"/>
    <mergeCell ref="K2:L2"/>
    <mergeCell ref="H2:H3"/>
    <mergeCell ref="F2:F3"/>
    <mergeCell ref="G2:G3"/>
    <mergeCell ref="D1:H1"/>
    <mergeCell ref="E2:E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7</vt:i4>
      </vt:variant>
    </vt:vector>
  </HeadingPairs>
  <TitlesOfParts>
    <vt:vector size="9" baseType="lpstr">
      <vt:lpstr>Schacht DN 1500 </vt:lpstr>
      <vt:lpstr>Berechnung</vt:lpstr>
      <vt:lpstr>Abstand</vt:lpstr>
      <vt:lpstr>DNdR1500</vt:lpstr>
      <vt:lpstr>'Schacht DN 1500 '!Druckbereich</vt:lpstr>
      <vt:lpstr>Hoehe</vt:lpstr>
      <vt:lpstr>Material</vt:lpstr>
      <vt:lpstr>Muffenplatz</vt:lpstr>
      <vt:lpstr>Schildmaße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2020-04-20T15:38:30Z</dcterms:modified>
  <cp:category/>
  <cp:contentStatus/>
</cp:coreProperties>
</file>