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347AE3A-1EC9-42DE-91B1-33095D3E622A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chacht_DN_1000" sheetId="1" r:id="rId1"/>
    <sheet name="LV_Texte" sheetId="5" state="hidden" r:id="rId2"/>
    <sheet name="Berechnung" sheetId="2" state="hidden" r:id="rId3"/>
  </sheets>
  <definedNames>
    <definedName name="Abdeckplatte">Berechnung!$N$4:$N$5</definedName>
    <definedName name="Dichtsystem">Berechnung!$Q$2:$Q$4</definedName>
    <definedName name="DNdR1000">Berechnung!$A$5:$A$12</definedName>
    <definedName name="_xlnm.Print_Area" localSheetId="0">Schacht_DN_1000!$A$1:$S$144</definedName>
    <definedName name="Hoehe">Berechnung!$E$3:$E$233</definedName>
    <definedName name="HoeheAR">Berechnung!$P$2:$P$11</definedName>
    <definedName name="Material">Berechnung!$G$4:$G$14</definedName>
    <definedName name="minh">Berechnung!$I$3:$K$11</definedName>
    <definedName name="Muffenplatz">Berechnung!$A$5:$C$18</definedName>
    <definedName name="Schachthals">Berechnung!$M$4:$M$6</definedName>
    <definedName name="Steigbügel">Berechnung!$S$2:$S$3</definedName>
    <definedName name="Steigleiter">Berechnung!$T$2</definedName>
    <definedName name="Steigsystem">Berechnung!$R$2:$R$4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1" i="1" l="1"/>
  <c r="I70" i="1"/>
  <c r="A38" i="5" l="1"/>
  <c r="A36" i="5"/>
  <c r="A41" i="5"/>
  <c r="B41" i="5"/>
  <c r="A48" i="5"/>
  <c r="A4" i="5" l="1"/>
  <c r="K11" i="2" l="1"/>
  <c r="Q16" i="1"/>
  <c r="B12" i="2"/>
  <c r="C12" i="2" s="1"/>
  <c r="D140" i="1" l="1"/>
  <c r="D139" i="1"/>
  <c r="D138" i="1"/>
  <c r="D137" i="1"/>
  <c r="D136" i="1"/>
  <c r="D135" i="1"/>
  <c r="D134" i="1"/>
  <c r="D133" i="1"/>
  <c r="D132" i="1"/>
  <c r="D127" i="1"/>
  <c r="D126" i="1"/>
  <c r="D121" i="1"/>
  <c r="D116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A5" i="5"/>
  <c r="B5" i="5" s="1"/>
  <c r="N88" i="1"/>
  <c r="D88" i="1"/>
  <c r="B44" i="5"/>
  <c r="B43" i="5"/>
  <c r="B42" i="5"/>
  <c r="B3" i="5"/>
  <c r="B40" i="5"/>
  <c r="B35" i="5"/>
  <c r="B34" i="5"/>
  <c r="B29" i="5"/>
  <c r="B24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8" i="5"/>
  <c r="A37" i="5"/>
  <c r="B37" i="5" s="1"/>
  <c r="B36" i="5"/>
  <c r="A31" i="5"/>
  <c r="B31" i="5" s="1"/>
  <c r="A32" i="5"/>
  <c r="B32" i="5" s="1"/>
  <c r="A30" i="5"/>
  <c r="B30" i="5" s="1"/>
  <c r="A25" i="5"/>
  <c r="B25" i="5" s="1"/>
  <c r="D123" i="1" l="1"/>
  <c r="D124" i="1"/>
  <c r="D117" i="1"/>
  <c r="D128" i="1"/>
  <c r="D129" i="1"/>
  <c r="D130" i="1"/>
  <c r="D122" i="1"/>
  <c r="N50" i="1"/>
  <c r="D50" i="1"/>
  <c r="A35" i="5" l="1"/>
  <c r="A34" i="5"/>
  <c r="A26" i="5"/>
  <c r="D118" i="1" s="1"/>
  <c r="A19" i="5"/>
  <c r="D111" i="1" s="1"/>
  <c r="A22" i="5"/>
  <c r="D114" i="1" s="1"/>
  <c r="A21" i="5"/>
  <c r="D113" i="1" s="1"/>
  <c r="A20" i="5"/>
  <c r="D112" i="1" s="1"/>
  <c r="A18" i="5"/>
  <c r="A47" i="5"/>
  <c r="A46" i="5"/>
  <c r="A45" i="5"/>
  <c r="A44" i="5"/>
  <c r="A43" i="5"/>
  <c r="A42" i="5"/>
  <c r="A40" i="5"/>
  <c r="A17" i="5"/>
  <c r="A8" i="5"/>
  <c r="A16" i="5"/>
  <c r="A15" i="5"/>
  <c r="A14" i="5"/>
  <c r="A13" i="5"/>
  <c r="A12" i="5"/>
  <c r="A11" i="5"/>
  <c r="A10" i="5"/>
  <c r="A9" i="5"/>
  <c r="A7" i="5"/>
  <c r="A6" i="5"/>
  <c r="D96" i="1"/>
  <c r="A3" i="5"/>
  <c r="D95" i="1" s="1"/>
  <c r="B21" i="5" l="1"/>
  <c r="B4" i="5"/>
  <c r="B22" i="5"/>
  <c r="B19" i="5"/>
  <c r="B26" i="5"/>
  <c r="B20" i="5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Q17" i="1" l="1"/>
  <c r="K3" i="2"/>
  <c r="Y2" i="1" s="1"/>
  <c r="K10" i="2"/>
  <c r="K9" i="2"/>
  <c r="K8" i="2"/>
  <c r="K7" i="2"/>
  <c r="K6" i="2"/>
  <c r="K5" i="2"/>
  <c r="K4" i="2"/>
  <c r="AL22" i="1"/>
  <c r="AL19" i="1"/>
  <c r="AL20" i="1" s="1"/>
  <c r="AL16" i="1"/>
  <c r="AL17" i="1" s="1"/>
  <c r="V11" i="1"/>
  <c r="AY23" i="1" l="1"/>
  <c r="AY24" i="1" s="1"/>
  <c r="AY20" i="1"/>
  <c r="AY21" i="1" s="1"/>
  <c r="AY17" i="1"/>
  <c r="AY18" i="1" s="1"/>
  <c r="AY14" i="1"/>
  <c r="AY15" i="1" s="1"/>
  <c r="AY11" i="1"/>
  <c r="AY12" i="1" s="1"/>
  <c r="B5" i="2"/>
  <c r="C5" i="2" s="1"/>
  <c r="AL23" i="1" l="1"/>
  <c r="AL25" i="1"/>
  <c r="AL26" i="1" s="1"/>
  <c r="AS18" i="1"/>
  <c r="AS12" i="1"/>
  <c r="AS16" i="1" s="1"/>
  <c r="V8" i="1"/>
  <c r="V9" i="1"/>
  <c r="V10" i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AL18" i="1" l="1"/>
  <c r="AL21" i="1"/>
  <c r="X11" i="1"/>
  <c r="Y11" i="1" s="1"/>
  <c r="X10" i="1"/>
  <c r="Y10" i="1" s="1"/>
  <c r="AA11" i="1"/>
  <c r="AB11" i="1" s="1"/>
  <c r="X9" i="1"/>
  <c r="Y9" i="1" s="1"/>
  <c r="W9" i="1"/>
  <c r="X8" i="1"/>
  <c r="Y8" i="1" s="1"/>
  <c r="W8" i="1"/>
  <c r="W11" i="1"/>
  <c r="W10" i="1"/>
  <c r="AY16" i="1"/>
  <c r="AY25" i="1"/>
  <c r="AY22" i="1"/>
  <c r="AS24" i="1"/>
  <c r="AY10" i="1"/>
  <c r="AY13" i="1" s="1"/>
  <c r="AY19" i="1"/>
  <c r="AL27" i="1"/>
  <c r="AL24" i="1"/>
  <c r="AA9" i="1"/>
  <c r="AB9" i="1" s="1"/>
  <c r="AA10" i="1"/>
  <c r="AB10" i="1" s="1"/>
  <c r="AA8" i="1"/>
  <c r="AB8" i="1" s="1"/>
  <c r="AF25" i="1"/>
  <c r="AF19" i="1"/>
  <c r="AF22" i="1"/>
  <c r="AF16" i="1"/>
  <c r="AM21" i="1" l="1"/>
  <c r="AN21" i="1"/>
  <c r="AN18" i="1"/>
  <c r="AM18" i="1"/>
  <c r="Z9" i="1"/>
  <c r="AE9" i="1" s="1"/>
  <c r="Y20" i="1" s="1"/>
  <c r="AB20" i="1" s="1"/>
  <c r="AF20" i="1" s="1"/>
  <c r="AN24" i="1"/>
  <c r="AM24" i="1"/>
  <c r="AM27" i="1"/>
  <c r="AN27" i="1"/>
  <c r="Z10" i="1"/>
  <c r="AE10" i="1" s="1"/>
  <c r="Z11" i="1"/>
  <c r="AE11" i="1" s="1"/>
  <c r="AY26" i="1"/>
  <c r="AY27" i="1" s="1"/>
  <c r="AY28" i="1" s="1"/>
  <c r="BE24" i="1" s="1"/>
  <c r="T24" i="1"/>
  <c r="AC8" i="1" l="1"/>
  <c r="AC9" i="1"/>
  <c r="AS13" i="1"/>
  <c r="AS14" i="1" s="1"/>
  <c r="AC11" i="1" l="1"/>
  <c r="AF11" i="1" s="1"/>
  <c r="Y27" i="1" s="1"/>
  <c r="Z8" i="1"/>
  <c r="AE8" i="1" s="1"/>
  <c r="Y17" i="1" s="1"/>
  <c r="AB17" i="1" s="1"/>
  <c r="AS15" i="1"/>
  <c r="AC10" i="1" l="1"/>
  <c r="AF10" i="1" s="1"/>
  <c r="AS19" i="1"/>
  <c r="AS23" i="1"/>
  <c r="AS25" i="1" s="1"/>
  <c r="AB27" i="1"/>
  <c r="AF27" i="1" s="1"/>
  <c r="Y24" i="1" l="1"/>
  <c r="AB24" i="1" s="1"/>
  <c r="AF24" i="1" s="1"/>
  <c r="AF9" i="1"/>
  <c r="Y21" i="1" s="1"/>
  <c r="AB21" i="1" s="1"/>
  <c r="AF21" i="1" s="1"/>
  <c r="AF8" i="1"/>
  <c r="AS20" i="1"/>
  <c r="Y18" i="1" l="1"/>
  <c r="AB18" i="1" s="1"/>
  <c r="AE18" i="1" s="1"/>
  <c r="AE20" i="1" s="1"/>
  <c r="Y26" i="1"/>
  <c r="AB26" i="1" s="1"/>
  <c r="AE26" i="1" s="1"/>
  <c r="Y23" i="1"/>
  <c r="AB23" i="1" s="1"/>
  <c r="AE23" i="1" s="1"/>
  <c r="AS21" i="1"/>
  <c r="AS22" i="1" s="1"/>
  <c r="BE22" i="1" s="1"/>
  <c r="AF18" i="1" l="1"/>
  <c r="AF26" i="1"/>
  <c r="AF23" i="1"/>
  <c r="AE17" i="1"/>
  <c r="AE21" i="1" s="1"/>
  <c r="AE24" i="1" l="1"/>
  <c r="M26" i="1" s="1"/>
  <c r="AE27" i="1"/>
  <c r="M27" i="1" s="1"/>
  <c r="M25" i="1"/>
  <c r="AF17" i="1"/>
  <c r="T27" i="1"/>
  <c r="T26" i="1"/>
  <c r="T25" i="1"/>
  <c r="G18" i="1" l="1"/>
  <c r="G19" i="1" s="1"/>
  <c r="A27" i="5" s="1"/>
  <c r="I69" i="1" l="1"/>
  <c r="I66" i="1" s="1"/>
  <c r="AT17" i="1"/>
  <c r="AT26" i="1" s="1"/>
  <c r="AT27" i="1" s="1"/>
  <c r="AT28" i="1" s="1"/>
  <c r="BF23" i="1" s="1"/>
  <c r="G17" i="1"/>
  <c r="AS17" i="1"/>
  <c r="AS26" i="1" s="1"/>
  <c r="AS27" i="1" s="1"/>
  <c r="AS28" i="1" s="1"/>
  <c r="BE23" i="1" s="1"/>
  <c r="O19" i="1"/>
  <c r="O18" i="1"/>
  <c r="D119" i="1" l="1"/>
  <c r="AM28" i="1"/>
  <c r="BE25" i="1" s="1"/>
  <c r="BE26" i="1" s="1"/>
  <c r="BE28" i="1" s="1"/>
  <c r="Q18" i="1" s="1"/>
  <c r="AN28" i="1"/>
  <c r="BF25" i="1" s="1"/>
  <c r="BF26" i="1" s="1"/>
  <c r="BF28" i="1" s="1"/>
  <c r="Q19" i="1" s="1"/>
  <c r="B27" i="5" l="1"/>
</calcChain>
</file>

<file path=xl/sharedStrings.xml><?xml version="1.0" encoding="utf-8"?>
<sst xmlns="http://schemas.openxmlformats.org/spreadsheetml/2006/main" count="388" uniqueCount="209">
  <si>
    <t>Bauvorhaben</t>
  </si>
  <si>
    <t>Bauherr</t>
  </si>
  <si>
    <t>Planer</t>
  </si>
  <si>
    <t>Baufirma</t>
  </si>
  <si>
    <t>Ersteller</t>
  </si>
  <si>
    <t>Schachtunterteil:</t>
  </si>
  <si>
    <t>Schachtgröße</t>
  </si>
  <si>
    <t>DN</t>
  </si>
  <si>
    <t>[mm]</t>
  </si>
  <si>
    <t>Wandstärken</t>
  </si>
  <si>
    <t>t</t>
  </si>
  <si>
    <t>(Wandstärke)</t>
  </si>
  <si>
    <t>Bauhöhe</t>
  </si>
  <si>
    <t>h</t>
  </si>
  <si>
    <t>(mindestens)</t>
  </si>
  <si>
    <r>
      <t>t</t>
    </r>
    <r>
      <rPr>
        <vertAlign val="subscript"/>
        <sz val="10"/>
        <color theme="1"/>
        <rFont val="Arial"/>
        <family val="2"/>
      </rPr>
      <t>3</t>
    </r>
  </si>
  <si>
    <t>(Bodenplatte)</t>
  </si>
  <si>
    <r>
      <t>h</t>
    </r>
    <r>
      <rPr>
        <vertAlign val="subscript"/>
        <sz val="10"/>
        <color theme="1"/>
        <rFont val="Arial"/>
        <family val="2"/>
      </rPr>
      <t>ges</t>
    </r>
  </si>
  <si>
    <t xml:space="preserve"> [t]</t>
  </si>
  <si>
    <t>(gewählt)</t>
  </si>
  <si>
    <t>Rohranschlüsse:</t>
  </si>
  <si>
    <t>min.</t>
  </si>
  <si>
    <t>Volumen Schild</t>
  </si>
  <si>
    <t>Material</t>
  </si>
  <si>
    <t>Höhe</t>
  </si>
  <si>
    <t>Position</t>
  </si>
  <si>
    <t>Höhen-versatz</t>
  </si>
  <si>
    <t>Hinweise:</t>
  </si>
  <si>
    <t>Höhenversatz zzgl. Anschluss</t>
  </si>
  <si>
    <t>Boden</t>
  </si>
  <si>
    <t>Beton</t>
  </si>
  <si>
    <t>[gon]</t>
  </si>
  <si>
    <t>IST</t>
  </si>
  <si>
    <t>KANN</t>
  </si>
  <si>
    <t>Steinzeug HL</t>
  </si>
  <si>
    <t>Auslauf</t>
  </si>
  <si>
    <t>Gewicht Boden</t>
  </si>
  <si>
    <t>Steinzeug NL</t>
  </si>
  <si>
    <t>Zulauf 1</t>
  </si>
  <si>
    <t>Position (mittig)</t>
  </si>
  <si>
    <t>Aufbau ohne An-schlüsse</t>
  </si>
  <si>
    <t>KG</t>
  </si>
  <si>
    <t>Zulauf 2</t>
  </si>
  <si>
    <t>Sonstiges</t>
  </si>
  <si>
    <t>Zulauf 3</t>
  </si>
  <si>
    <t>von</t>
  </si>
  <si>
    <t>bis</t>
  </si>
  <si>
    <t>https://betonwerk-bieren.de/kontakt/</t>
  </si>
  <si>
    <t>Mindestbauhöhe</t>
  </si>
  <si>
    <t>Ihr Schacht ist nicht konfigurierbar? Gerne finden wir mit Ihnen eine Lösung für Ihr Projekt!</t>
  </si>
  <si>
    <t>Die Position für den Auslauf liegt immer bei 0 gon.</t>
  </si>
  <si>
    <t>Gewicht*</t>
  </si>
  <si>
    <t>Schachtnr.</t>
  </si>
  <si>
    <t>VOR</t>
  </si>
  <si>
    <t>NACH</t>
  </si>
  <si>
    <t>Nach</t>
  </si>
  <si>
    <t>Schild</t>
  </si>
  <si>
    <t>Selbst</t>
  </si>
  <si>
    <t>Schildlänge</t>
  </si>
  <si>
    <t>mittig</t>
  </si>
  <si>
    <t>min.max. / Schild-Position</t>
  </si>
  <si>
    <t>[m]</t>
  </si>
  <si>
    <t>Platzbedarf</t>
  </si>
  <si>
    <t>rechnerisch</t>
  </si>
  <si>
    <t>gewählt</t>
  </si>
  <si>
    <t>Vormuffe</t>
  </si>
  <si>
    <t>Nachmuffe</t>
  </si>
  <si>
    <t>Gesamt</t>
  </si>
  <si>
    <t>Auswertung</t>
  </si>
  <si>
    <t>[m²]</t>
  </si>
  <si>
    <t>Wand-stärke</t>
  </si>
  <si>
    <t>Grund-daten</t>
  </si>
  <si>
    <t>d (außen)</t>
  </si>
  <si>
    <t>r (außen)</t>
  </si>
  <si>
    <t>Fläche</t>
  </si>
  <si>
    <t>Rohdichte</t>
  </si>
  <si>
    <t>[m³]</t>
  </si>
  <si>
    <t>[t]</t>
  </si>
  <si>
    <t>[t/m³]</t>
  </si>
  <si>
    <t>Volumen Beton</t>
  </si>
  <si>
    <t>Volumen</t>
  </si>
  <si>
    <t>Fläche d außen</t>
  </si>
  <si>
    <t>Fläche d innen</t>
  </si>
  <si>
    <t>r (innen)</t>
  </si>
  <si>
    <t>Flächendiff</t>
  </si>
  <si>
    <t>Bauhöhe ohne Boden</t>
  </si>
  <si>
    <t>Gewicht Aufbau</t>
  </si>
  <si>
    <t>Gewichte Anschlüsse</t>
  </si>
  <si>
    <t>Gewicht Schild</t>
  </si>
  <si>
    <t>Volumen Anschluss</t>
  </si>
  <si>
    <t>Gewicht Anschluss</t>
  </si>
  <si>
    <t>Anschluss DN</t>
  </si>
  <si>
    <t>Anschlussrechner</t>
  </si>
  <si>
    <t>Gewichtsrechner - Anschlüsse</t>
  </si>
  <si>
    <t>Gewichtsrechner - Grundkörper</t>
  </si>
  <si>
    <t>Summe Gewicht Anschlüsse</t>
  </si>
  <si>
    <r>
      <t>Höhe OK d</t>
    </r>
    <r>
      <rPr>
        <vertAlign val="sub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bis 
Höhe OK UT</t>
    </r>
  </si>
  <si>
    <t>Muffenabstände ( r = DN )</t>
  </si>
  <si>
    <t>Gerinne</t>
  </si>
  <si>
    <t>max dR</t>
  </si>
  <si>
    <t>h1</t>
  </si>
  <si>
    <t>Gewicht</t>
  </si>
  <si>
    <t>Abzug A</t>
  </si>
  <si>
    <t>Abzug E1</t>
  </si>
  <si>
    <t>Abzug E2</t>
  </si>
  <si>
    <t>Abzug E3</t>
  </si>
  <si>
    <t>Abzüge</t>
  </si>
  <si>
    <t>[dR]</t>
  </si>
  <si>
    <t>Faktor</t>
  </si>
  <si>
    <t>Gewichtsrechner - Gerinne</t>
  </si>
  <si>
    <t>Gewichtsauswertung</t>
  </si>
  <si>
    <t>Anschlüsse</t>
  </si>
  <si>
    <t>Aufbau</t>
  </si>
  <si>
    <t>PP</t>
  </si>
  <si>
    <t>PVC</t>
  </si>
  <si>
    <t>GFK</t>
  </si>
  <si>
    <t>Connex</t>
  </si>
  <si>
    <t>Friatec</t>
  </si>
  <si>
    <t>raue Öffnung</t>
  </si>
  <si>
    <t>Sicherheitsfaktor</t>
  </si>
  <si>
    <t>Gesamt + SF</t>
  </si>
  <si>
    <t>* Gewichtsangaben beziehen sich auf eine reguläre Schachtausführung nach DIN EN 1917 sowie DIN 4034-1 und können durch z.B. Abstürze vom anggebenden Gewicht abweichen. Planen Sie ausreichend Hubkraft ein.</t>
  </si>
  <si>
    <t>Information:</t>
  </si>
  <si>
    <t>Skizze:</t>
  </si>
  <si>
    <t>→</t>
  </si>
  <si>
    <t>DNdR1000</t>
  </si>
  <si>
    <t>min Bauhöhe</t>
  </si>
  <si>
    <t>min Höhe</t>
  </si>
  <si>
    <t>Menge</t>
  </si>
  <si>
    <t>Einheit</t>
  </si>
  <si>
    <t>01.00.0010</t>
  </si>
  <si>
    <t>Stk</t>
  </si>
  <si>
    <t>Schachtaufbau:</t>
  </si>
  <si>
    <t>Schmutzwasserschacht</t>
  </si>
  <si>
    <t>Schachthals</t>
  </si>
  <si>
    <t>Abdeckplatte</t>
  </si>
  <si>
    <t>geplante lichte Schachttiefe</t>
  </si>
  <si>
    <t>[cm]</t>
  </si>
  <si>
    <t>cm</t>
  </si>
  <si>
    <t>HoeheAR</t>
  </si>
  <si>
    <t>Dichtsystem</t>
  </si>
  <si>
    <t>TOP SEAL</t>
  </si>
  <si>
    <t>TOP SEAL • Plus</t>
  </si>
  <si>
    <t>TOP SEAL • Vario</t>
  </si>
  <si>
    <t>Steigsystem</t>
  </si>
  <si>
    <t>Steigbügel</t>
  </si>
  <si>
    <t>Steigleiter</t>
  </si>
  <si>
    <t>entfällt</t>
  </si>
  <si>
    <t>Form A</t>
  </si>
  <si>
    <t>Qualität</t>
  </si>
  <si>
    <t>Einheitspreis
in [EUR]</t>
  </si>
  <si>
    <t>Gesamtbetrag
in [EUR]</t>
  </si>
  <si>
    <t>Unsere Ansprechpartner stehen Ihnen jederzeit zur Verfügung.</t>
  </si>
  <si>
    <t>Regenwasser</t>
  </si>
  <si>
    <t>Anwendungszweck</t>
  </si>
  <si>
    <r>
      <t xml:space="preserve">Planungshilfe für schalungserhärtete Schachtsysteme </t>
    </r>
    <r>
      <rPr>
        <b/>
        <sz val="16"/>
        <color rgb="FFC00000"/>
        <rFont val="Arial"/>
        <family val="2"/>
      </rPr>
      <t>DN 1000</t>
    </r>
  </si>
  <si>
    <t>Max Mustermann</t>
  </si>
  <si>
    <t>Stadtwerke Musterhase</t>
  </si>
  <si>
    <t>Tiefbau Musterbaggerei</t>
  </si>
  <si>
    <t>Betonwerk Bieren • Schachtplanungshilfe • Version 1.0 • Sie haben Fragen?</t>
  </si>
  <si>
    <t>Baustelle Musterstraße Los 8a</t>
  </si>
  <si>
    <t>SOLL</t>
  </si>
  <si>
    <t>Diese Höhe entnehmen Sie ihren Plänen.</t>
  </si>
  <si>
    <t>Schachtunterteil</t>
  </si>
  <si>
    <t>Einstiegsöffnung</t>
  </si>
  <si>
    <t>C 50/60 für Regenwasser
C 60/75 für Schmutz- und Mischwasser</t>
  </si>
  <si>
    <t>Betonqualität</t>
  </si>
  <si>
    <t>Schachtaufbau</t>
  </si>
  <si>
    <t>Standard: Sofortentschalt: C 40/50 für Regenwasser
Auf WunschSchalungserhärtet: C 50/60 oder C 60/75</t>
  </si>
  <si>
    <t>C 40/50</t>
  </si>
  <si>
    <t>Standard: TOP SEAL • Plus
Auf Wunsch TOP SEAL • Vario und TOP SEAL</t>
  </si>
  <si>
    <t>Steighilfen</t>
  </si>
  <si>
    <t>Form</t>
  </si>
  <si>
    <t xml:space="preserve">Wir verzichten für den Arbeitsschutz auf zweiläufige Steigeisengänge aus Steigeisen. </t>
  </si>
  <si>
    <t>Form B</t>
  </si>
  <si>
    <t>Standard</t>
  </si>
  <si>
    <t>Schachthals bzw. Konus 
oder Abdeckplatte</t>
  </si>
  <si>
    <t>TOP SEAL • Plus mit eingezogenem Einstieg
TOP SEAL &amp; TOP SEAL • Vario mit geradem Einstieg</t>
  </si>
  <si>
    <t>62,5 cm</t>
  </si>
  <si>
    <t>Der Durchmesser des Einstiegsöffnung sollte an die spätere Verwendung angepasst werden.</t>
  </si>
  <si>
    <r>
      <t xml:space="preserve">Es wird automatisch die Höhe aus der Schachtplanung Teil 1 übernommen. </t>
    </r>
    <r>
      <rPr>
        <i/>
        <sz val="10"/>
        <color theme="1"/>
        <rFont val="Arial"/>
        <family val="2"/>
      </rPr>
      <t>siehe Zelle G17</t>
    </r>
  </si>
  <si>
    <r>
      <t xml:space="preserve">Die </t>
    </r>
    <r>
      <rPr>
        <u/>
        <sz val="10"/>
        <color theme="1"/>
        <rFont val="Arial"/>
        <family val="2"/>
      </rPr>
      <t>gesamte</t>
    </r>
    <r>
      <rPr>
        <sz val="10"/>
        <color theme="1"/>
        <rFont val="Arial"/>
        <family val="2"/>
      </rPr>
      <t xml:space="preserve"> Höhe der Schachtringe angeben. Verfügbare Bauhöhen sind 50 cm und 100 cm.</t>
    </r>
  </si>
  <si>
    <t>Auflageringe (Ausgleichsringe)</t>
  </si>
  <si>
    <t>Die maximale Höhe der Ausgleichsringe darf nach DIN 4031-1 eine Höhe von 24 cm nicht überschreiten!</t>
  </si>
  <si>
    <t>Schachtabdeckung</t>
  </si>
  <si>
    <r>
      <t xml:space="preserve">Bei den Einbauhöhen von Schachtabdeckungen sind beim Hersteller anzufragen. </t>
    </r>
    <r>
      <rPr>
        <i/>
        <sz val="10"/>
        <color theme="1"/>
        <rFont val="Arial"/>
        <family val="2"/>
      </rPr>
      <t>(Häufig 12,5, 14 o. 16 cm)</t>
    </r>
  </si>
  <si>
    <t>Summe aus Zeile 68-72;  Geringe Abweichungen können im Aufbau ausgeglichen werden  (Z. 71/72)</t>
  </si>
  <si>
    <t>Schachtringe</t>
  </si>
  <si>
    <t>Kenndaten des Schachtsystems**</t>
  </si>
  <si>
    <t>Sie haben Fragen zum Schachtsystem, den Varianten, Auswahlmöglichten oder dem Schachtaufbau, dann stehen wir Ihnen jederzeit zur Verfügung.</t>
  </si>
  <si>
    <t>Regenwasserschacht</t>
  </si>
  <si>
    <t>Form vom Schachthals</t>
  </si>
  <si>
    <t>eingezogener Einstieg</t>
  </si>
  <si>
    <t>Schmutzwasser</t>
  </si>
  <si>
    <t>Ordnungszahl</t>
  </si>
  <si>
    <t>Ingenieurbüro Musterbau</t>
  </si>
  <si>
    <t>Wahl zwischen: Regen-, Schmutz und Mischwasser
Schmutz- und Mischwasser haben denselben LV-Text.</t>
  </si>
  <si>
    <t>Steigbügel Form A ist nach unten gekröpft.
Steigbügel Form B ist seitlicher Aufkantung.</t>
  </si>
  <si>
    <t>Edelstahl</t>
  </si>
  <si>
    <t>Steigleitern sind nur in Edelstahl zu verwenden.
Steigbügel: PE-ummantelter Kern.</t>
  </si>
  <si>
    <t>Zum Arbeitsschutz wird beim 62,5 cm Einstieg dringend der eingezogene Einstieg empfohlen!</t>
  </si>
  <si>
    <t>Planung des Schachtsystems**</t>
  </si>
  <si>
    <t>Planung des Schachtaufbaus**</t>
  </si>
  <si>
    <r>
      <rPr>
        <b/>
        <sz val="14"/>
        <color theme="1"/>
        <rFont val="Arial"/>
        <family val="2"/>
      </rPr>
      <t>**</t>
    </r>
    <r>
      <rPr>
        <sz val="12"/>
        <color theme="1"/>
        <rFont val="Arial"/>
        <family val="2"/>
      </rPr>
      <t xml:space="preserve"> Aufgrund der Komplexität der unterschiedlichsten Ausführungsvarianten sind die Angaben in Zeile 54-60 der Reihe nach auszufüllen. Ein nachträgliches Ändern der Angaben führt zu keiner automatischen Kontrolle der verknüpften Zellen! Bitte kontrollieren Sie Ihre Eingaben bei nachträglicher Veränderung sorgfältig.</t>
    </r>
  </si>
  <si>
    <r>
      <t xml:space="preserve">Der Muster LV-Text wurde anhand Ihrer oben gemachten Angaben erstellt. Bitte kontrollieren Sie Ihre Angaben und füllen Sie </t>
    </r>
    <r>
      <rPr>
        <u/>
        <sz val="12"/>
        <color theme="1"/>
        <rFont val="Arial"/>
        <family val="2"/>
      </rPr>
      <t>alle</t>
    </r>
    <r>
      <rPr>
        <sz val="12"/>
        <color theme="1"/>
        <rFont val="Arial"/>
        <family val="2"/>
      </rPr>
      <t xml:space="preserve"> "grau" hinterlegten Felder aus.  </t>
    </r>
  </si>
  <si>
    <t>Version: 17.07.2020</t>
  </si>
  <si>
    <t>[Stk]</t>
  </si>
  <si>
    <t>h=50 cm</t>
  </si>
  <si>
    <t>h=100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</si>
</sst>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&quot;gon&quot;"/>
    <numFmt numFmtId="166" formatCode="0.000"/>
  </numFmts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i/>
      <u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6"/>
      <color theme="1"/>
      <name val="Arial"/>
      <family val="2"/>
    </font>
    <font>
      <b/>
      <sz val="10"/>
      <color rgb="FFC00000"/>
      <name val="Arial"/>
      <family val="2"/>
    </font>
    <font>
      <b/>
      <u/>
      <sz val="12"/>
      <color rgb="FFC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DCB5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 style="medium">
        <color auto="1"/>
      </top>
      <bottom/>
      <diagonal/>
    </border>
    <border>
      <left/>
      <right style="thick">
        <color rgb="FFC00000"/>
      </right>
      <top style="medium">
        <color auto="1"/>
      </top>
      <bottom style="hair">
        <color auto="1"/>
      </bottom>
      <diagonal/>
    </border>
    <border>
      <left style="thick">
        <color rgb="FFC00000"/>
      </left>
      <right/>
      <top/>
      <bottom style="hair">
        <color auto="1"/>
      </bottom>
      <diagonal/>
    </border>
    <border>
      <left/>
      <right style="thick">
        <color rgb="FFC00000"/>
      </right>
      <top style="hair">
        <color auto="1"/>
      </top>
      <bottom style="hair">
        <color auto="1"/>
      </bottom>
      <diagonal/>
    </border>
    <border>
      <left style="thick">
        <color rgb="FFC00000"/>
      </left>
      <right/>
      <top style="hair">
        <color auto="1"/>
      </top>
      <bottom style="hair">
        <color auto="1"/>
      </bottom>
      <diagonal/>
    </border>
    <border>
      <left style="thick">
        <color rgb="FFC00000"/>
      </left>
      <right/>
      <top style="hair">
        <color auto="1"/>
      </top>
      <bottom style="thick">
        <color rgb="FFC00000"/>
      </bottom>
      <diagonal/>
    </border>
    <border>
      <left/>
      <right style="medium">
        <color auto="1"/>
      </right>
      <top style="hair">
        <color auto="1"/>
      </top>
      <bottom style="thick">
        <color rgb="FFC00000"/>
      </bottom>
      <diagonal/>
    </border>
    <border>
      <left style="medium">
        <color auto="1"/>
      </left>
      <right/>
      <top style="hair">
        <color auto="1"/>
      </top>
      <bottom style="thick">
        <color rgb="FFC00000"/>
      </bottom>
      <diagonal/>
    </border>
    <border>
      <left/>
      <right/>
      <top style="hair">
        <color auto="1"/>
      </top>
      <bottom style="thick">
        <color rgb="FFC00000"/>
      </bottom>
      <diagonal/>
    </border>
    <border>
      <left/>
      <right style="thick">
        <color rgb="FFC00000"/>
      </right>
      <top style="hair">
        <color auto="1"/>
      </top>
      <bottom style="thick">
        <color rgb="FFC00000"/>
      </bottom>
      <diagonal/>
    </border>
    <border>
      <left style="thick">
        <color rgb="FFC00000"/>
      </left>
      <right/>
      <top style="medium">
        <color auto="1"/>
      </top>
      <bottom style="hair">
        <color auto="1"/>
      </bottom>
      <diagonal/>
    </border>
    <border>
      <left style="thick">
        <color rgb="FFC00000"/>
      </left>
      <right/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/>
      <bottom style="hair">
        <color auto="1"/>
      </bottom>
      <diagonal/>
    </border>
    <border>
      <left style="thick">
        <color rgb="FFC00000"/>
      </left>
      <right style="medium">
        <color indexed="64"/>
      </right>
      <top style="thick">
        <color rgb="FFC00000"/>
      </top>
      <bottom/>
      <diagonal/>
    </border>
    <border>
      <left style="medium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medium">
        <color indexed="64"/>
      </right>
      <top style="thick">
        <color rgb="FFC00000"/>
      </top>
      <bottom style="medium">
        <color indexed="64"/>
      </bottom>
      <diagonal/>
    </border>
    <border>
      <left style="medium">
        <color indexed="64"/>
      </left>
      <right/>
      <top style="thick">
        <color rgb="FFC00000"/>
      </top>
      <bottom/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ck">
        <color rgb="FFC00000"/>
      </left>
      <right style="medium">
        <color indexed="64"/>
      </right>
      <top/>
      <bottom style="thick">
        <color rgb="FFC00000"/>
      </bottom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/>
      <right/>
      <top style="thick">
        <color rgb="FFC00000"/>
      </top>
      <bottom style="hair">
        <color auto="1"/>
      </bottom>
      <diagonal/>
    </border>
    <border>
      <left/>
      <right style="medium">
        <color auto="1"/>
      </right>
      <top style="thick">
        <color rgb="FFC00000"/>
      </top>
      <bottom style="hair">
        <color auto="1"/>
      </bottom>
      <diagonal/>
    </border>
    <border>
      <left style="medium">
        <color indexed="64"/>
      </left>
      <right/>
      <top style="thick">
        <color rgb="FFC00000"/>
      </top>
      <bottom style="hair">
        <color auto="1"/>
      </bottom>
      <diagonal/>
    </border>
    <border>
      <left/>
      <right style="thick">
        <color rgb="FFC00000"/>
      </right>
      <top style="thick">
        <color rgb="FFC00000"/>
      </top>
      <bottom style="hair">
        <color auto="1"/>
      </bottom>
      <diagonal/>
    </border>
    <border>
      <left style="thick">
        <color rgb="FFC0000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ck">
        <color rgb="FFC00000"/>
      </right>
      <top style="hair">
        <color theme="1"/>
      </top>
      <bottom style="hair">
        <color theme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ck">
        <color rgb="FFC00000"/>
      </right>
      <top/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/>
      <right style="thick">
        <color rgb="FFC00000"/>
      </right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/>
      <diagonal/>
    </border>
    <border>
      <left/>
      <right style="thick">
        <color rgb="FFC00000"/>
      </right>
      <top style="hair">
        <color theme="1"/>
      </top>
      <bottom/>
      <diagonal/>
    </border>
    <border>
      <left style="thick">
        <color rgb="FFC00000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thick">
        <color rgb="FFC00000"/>
      </right>
      <top style="medium">
        <color theme="1"/>
      </top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thick">
        <color rgb="FFC00000"/>
      </right>
      <top style="hair">
        <color theme="1"/>
      </top>
      <bottom style="medium">
        <color theme="1"/>
      </bottom>
      <diagonal/>
    </border>
    <border>
      <left style="thick">
        <color rgb="FFC00000"/>
      </left>
      <right/>
      <top/>
      <bottom style="medium">
        <color auto="1"/>
      </bottom>
      <diagonal/>
    </border>
    <border>
      <left/>
      <right style="thick">
        <color rgb="FFC00000"/>
      </right>
      <top/>
      <bottom style="medium">
        <color auto="1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 style="thick">
        <color rgb="FFC00000"/>
      </top>
      <bottom style="hair">
        <color theme="1"/>
      </bottom>
      <diagonal/>
    </border>
    <border>
      <left/>
      <right/>
      <top style="thick">
        <color rgb="FFC00000"/>
      </top>
      <bottom style="hair">
        <color theme="1"/>
      </bottom>
      <diagonal/>
    </border>
    <border>
      <left/>
      <right style="thick">
        <color rgb="FFC00000"/>
      </right>
      <top style="thick">
        <color rgb="FFC00000"/>
      </top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thick">
        <color rgb="FFC00000"/>
      </bottom>
      <diagonal/>
    </border>
    <border>
      <left/>
      <right/>
      <top style="hair">
        <color theme="1"/>
      </top>
      <bottom style="thick">
        <color rgb="FFC00000"/>
      </bottom>
      <diagonal/>
    </border>
    <border>
      <left/>
      <right style="thick">
        <color rgb="FFC00000"/>
      </right>
      <top style="hair">
        <color theme="1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medium">
        <color theme="1"/>
      </bottom>
      <diagonal/>
    </border>
    <border>
      <left style="thick">
        <color rgb="FFC00000"/>
      </left>
      <right/>
      <top style="thick">
        <color rgb="FFC00000"/>
      </top>
      <bottom style="hair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29">
    <xf numFmtId="0" fontId="0" fillId="0" borderId="0" xfId="0"/>
    <xf numFmtId="0" fontId="8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2" fontId="8" fillId="0" borderId="0" xfId="0" applyNumberFormat="1" applyFont="1" applyBorder="1" applyAlignment="1" applyProtection="1">
      <alignment horizontal="center" vertical="center"/>
      <protection hidden="1"/>
    </xf>
    <xf numFmtId="2" fontId="23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 applyProtection="1">
      <alignment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165" fontId="23" fillId="0" borderId="19" xfId="0" applyNumberFormat="1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center" vertical="center"/>
      <protection hidden="1"/>
    </xf>
    <xf numFmtId="165" fontId="25" fillId="0" borderId="22" xfId="0" applyNumberFormat="1" applyFont="1" applyBorder="1" applyAlignment="1" applyProtection="1">
      <alignment horizontal="center" vertical="center"/>
      <protection hidden="1"/>
    </xf>
    <xf numFmtId="165" fontId="23" fillId="0" borderId="22" xfId="0" applyNumberFormat="1" applyFont="1" applyBorder="1" applyAlignment="1" applyProtection="1">
      <alignment horizontal="center" vertical="center"/>
      <protection hidden="1"/>
    </xf>
    <xf numFmtId="165" fontId="23" fillId="0" borderId="18" xfId="0" applyNumberFormat="1" applyFont="1" applyBorder="1" applyAlignment="1" applyProtection="1">
      <alignment horizontal="center" vertical="center"/>
      <protection hidden="1"/>
    </xf>
    <xf numFmtId="165" fontId="23" fillId="0" borderId="2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hidden="1"/>
    </xf>
    <xf numFmtId="2" fontId="5" fillId="0" borderId="20" xfId="0" applyNumberFormat="1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23" fillId="0" borderId="45" xfId="0" applyFont="1" applyBorder="1" applyAlignment="1" applyProtection="1">
      <alignment horizontal="left" vertical="center"/>
      <protection hidden="1"/>
    </xf>
    <xf numFmtId="0" fontId="23" fillId="0" borderId="46" xfId="0" applyFont="1" applyBorder="1" applyAlignment="1" applyProtection="1">
      <alignment vertical="center"/>
      <protection hidden="1"/>
    </xf>
    <xf numFmtId="165" fontId="24" fillId="0" borderId="47" xfId="0" applyNumberFormat="1" applyFont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2" fontId="23" fillId="0" borderId="29" xfId="0" applyNumberFormat="1" applyFont="1" applyBorder="1" applyAlignment="1" applyProtection="1">
      <alignment horizontal="center" vertical="center"/>
      <protection hidden="1"/>
    </xf>
    <xf numFmtId="165" fontId="23" fillId="0" borderId="31" xfId="0" applyNumberFormat="1" applyFont="1" applyBorder="1" applyAlignment="1" applyProtection="1">
      <alignment horizontal="center" vertical="center"/>
      <protection hidden="1"/>
    </xf>
    <xf numFmtId="165" fontId="23" fillId="0" borderId="33" xfId="0" applyNumberFormat="1" applyFont="1" applyBorder="1" applyAlignment="1" applyProtection="1">
      <alignment horizontal="center" vertical="center"/>
      <protection hidden="1"/>
    </xf>
    <xf numFmtId="0" fontId="23" fillId="0" borderId="38" xfId="0" applyFont="1" applyBorder="1" applyAlignment="1" applyProtection="1">
      <alignment horizontal="center" vertical="center"/>
      <protection hidden="1"/>
    </xf>
    <xf numFmtId="165" fontId="23" fillId="0" borderId="36" xfId="0" applyNumberFormat="1" applyFont="1" applyBorder="1" applyAlignment="1" applyProtection="1">
      <alignment horizontal="center" vertical="center"/>
      <protection hidden="1"/>
    </xf>
    <xf numFmtId="165" fontId="23" fillId="0" borderId="38" xfId="0" applyNumberFormat="1" applyFont="1" applyBorder="1" applyAlignment="1" applyProtection="1">
      <alignment horizontal="center" vertical="center"/>
      <protection hidden="1"/>
    </xf>
    <xf numFmtId="165" fontId="23" fillId="0" borderId="39" xfId="0" applyNumberFormat="1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165" fontId="23" fillId="0" borderId="53" xfId="0" applyNumberFormat="1" applyFont="1" applyBorder="1" applyAlignment="1" applyProtection="1">
      <alignment horizontal="center" vertical="center"/>
      <protection hidden="1"/>
    </xf>
    <xf numFmtId="165" fontId="23" fillId="0" borderId="52" xfId="0" applyNumberFormat="1" applyFont="1" applyBorder="1" applyAlignment="1" applyProtection="1">
      <alignment horizontal="center" vertical="center"/>
      <protection hidden="1"/>
    </xf>
    <xf numFmtId="165" fontId="23" fillId="0" borderId="55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66" fontId="27" fillId="0" borderId="0" xfId="0" applyNumberFormat="1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8" fillId="0" borderId="57" xfId="0" applyFont="1" applyBorder="1" applyAlignment="1" applyProtection="1">
      <alignment horizontal="center" vertical="center"/>
      <protection hidden="1"/>
    </xf>
    <xf numFmtId="166" fontId="5" fillId="0" borderId="58" xfId="0" applyNumberFormat="1" applyFont="1" applyBorder="1" applyAlignment="1" applyProtection="1">
      <alignment horizontal="center" vertical="center" wrapText="1"/>
      <protection hidden="1"/>
    </xf>
    <xf numFmtId="166" fontId="5" fillId="0" borderId="57" xfId="0" applyNumberFormat="1" applyFont="1" applyBorder="1" applyAlignment="1" applyProtection="1">
      <alignment horizontal="center" vertical="center"/>
      <protection hidden="1"/>
    </xf>
    <xf numFmtId="166" fontId="5" fillId="0" borderId="58" xfId="0" applyNumberFormat="1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27" fillId="0" borderId="66" xfId="0" applyFont="1" applyBorder="1" applyAlignment="1" applyProtection="1">
      <alignment horizontal="center" vertical="center" wrapText="1"/>
      <protection hidden="1"/>
    </xf>
    <xf numFmtId="166" fontId="27" fillId="0" borderId="66" xfId="0" applyNumberFormat="1" applyFont="1" applyBorder="1" applyAlignment="1" applyProtection="1">
      <alignment horizontal="center" vertical="center"/>
      <protection hidden="1"/>
    </xf>
    <xf numFmtId="166" fontId="27" fillId="0" borderId="67" xfId="0" applyNumberFormat="1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71" xfId="0" applyFont="1" applyBorder="1" applyAlignment="1" applyProtection="1">
      <alignment horizontal="center" vertical="center"/>
      <protection hidden="1"/>
    </xf>
    <xf numFmtId="0" fontId="27" fillId="0" borderId="74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5" fillId="0" borderId="56" xfId="0" applyFont="1" applyBorder="1" applyAlignment="1" applyProtection="1">
      <alignment vertical="center"/>
      <protection hidden="1"/>
    </xf>
    <xf numFmtId="0" fontId="5" fillId="0" borderId="57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166" fontId="5" fillId="0" borderId="43" xfId="0" applyNumberFormat="1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166" fontId="5" fillId="0" borderId="33" xfId="0" applyNumberFormat="1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166" fontId="5" fillId="0" borderId="39" xfId="0" applyNumberFormat="1" applyFont="1" applyBorder="1" applyAlignment="1" applyProtection="1">
      <alignment horizontal="center" vertical="center"/>
      <protection hidden="1"/>
    </xf>
    <xf numFmtId="166" fontId="8" fillId="0" borderId="21" xfId="0" applyNumberFormat="1" applyFont="1" applyBorder="1" applyAlignment="1" applyProtection="1">
      <alignment horizontal="center" vertical="center"/>
      <protection hidden="1"/>
    </xf>
    <xf numFmtId="166" fontId="8" fillId="0" borderId="33" xfId="0" applyNumberFormat="1" applyFont="1" applyBorder="1" applyAlignment="1" applyProtection="1">
      <alignment horizontal="center" vertical="center"/>
      <protection hidden="1"/>
    </xf>
    <xf numFmtId="166" fontId="8" fillId="0" borderId="38" xfId="0" applyNumberFormat="1" applyFont="1" applyBorder="1" applyAlignment="1" applyProtection="1">
      <alignment horizontal="center" vertical="center"/>
      <protection hidden="1"/>
    </xf>
    <xf numFmtId="166" fontId="8" fillId="0" borderId="39" xfId="0" applyNumberFormat="1" applyFont="1" applyBorder="1" applyAlignment="1" applyProtection="1">
      <alignment horizontal="center" vertical="center"/>
      <protection hidden="1"/>
    </xf>
    <xf numFmtId="0" fontId="8" fillId="0" borderId="43" xfId="0" applyFont="1" applyBorder="1" applyAlignment="1" applyProtection="1">
      <alignment horizontal="center" vertical="center"/>
      <protection hidden="1"/>
    </xf>
    <xf numFmtId="0" fontId="5" fillId="0" borderId="70" xfId="0" applyFont="1" applyBorder="1" applyAlignment="1" applyProtection="1">
      <alignment vertical="center"/>
      <protection hidden="1"/>
    </xf>
    <xf numFmtId="0" fontId="5" fillId="0" borderId="71" xfId="0" applyFont="1" applyBorder="1" applyAlignment="1" applyProtection="1">
      <alignment vertical="center"/>
      <protection hidden="1"/>
    </xf>
    <xf numFmtId="0" fontId="8" fillId="0" borderId="71" xfId="0" applyFont="1" applyBorder="1" applyAlignment="1" applyProtection="1">
      <alignment horizontal="center" vertical="center"/>
      <protection hidden="1"/>
    </xf>
    <xf numFmtId="0" fontId="8" fillId="0" borderId="72" xfId="0" applyFont="1" applyBorder="1" applyAlignment="1" applyProtection="1">
      <alignment horizontal="center" vertical="center"/>
      <protection hidden="1"/>
    </xf>
    <xf numFmtId="0" fontId="8" fillId="0" borderId="58" xfId="0" applyFont="1" applyBorder="1" applyAlignment="1" applyProtection="1">
      <alignment horizontal="center" vertical="center"/>
      <protection hidden="1"/>
    </xf>
    <xf numFmtId="0" fontId="5" fillId="0" borderId="73" xfId="0" applyFont="1" applyBorder="1" applyAlignment="1" applyProtection="1">
      <alignment vertical="center"/>
      <protection hidden="1"/>
    </xf>
    <xf numFmtId="0" fontId="5" fillId="0" borderId="74" xfId="0" applyFont="1" applyBorder="1" applyAlignment="1" applyProtection="1">
      <alignment vertic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166" fontId="5" fillId="0" borderId="75" xfId="0" applyNumberFormat="1" applyFont="1" applyBorder="1" applyAlignment="1" applyProtection="1">
      <alignment horizontal="center" vertical="center"/>
      <protection hidden="1"/>
    </xf>
    <xf numFmtId="166" fontId="8" fillId="0" borderId="74" xfId="0" applyNumberFormat="1" applyFont="1" applyBorder="1" applyAlignment="1" applyProtection="1">
      <alignment horizontal="center" vertical="center"/>
      <protection hidden="1"/>
    </xf>
    <xf numFmtId="166" fontId="8" fillId="0" borderId="75" xfId="0" applyNumberFormat="1" applyFont="1" applyBorder="1" applyAlignment="1" applyProtection="1">
      <alignment horizontal="center" vertical="center"/>
      <protection hidden="1"/>
    </xf>
    <xf numFmtId="166" fontId="27" fillId="4" borderId="60" xfId="0" applyNumberFormat="1" applyFont="1" applyFill="1" applyBorder="1" applyAlignment="1" applyProtection="1">
      <alignment horizontal="center" vertical="center"/>
      <protection hidden="1"/>
    </xf>
    <xf numFmtId="166" fontId="27" fillId="4" borderId="61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166" fontId="5" fillId="0" borderId="72" xfId="0" applyNumberFormat="1" applyFont="1" applyBorder="1" applyAlignment="1" applyProtection="1">
      <alignment horizontal="center" vertical="center"/>
      <protection hidden="1"/>
    </xf>
    <xf numFmtId="166" fontId="5" fillId="0" borderId="72" xfId="0" applyNumberFormat="1" applyFont="1" applyBorder="1" applyAlignment="1" applyProtection="1">
      <alignment horizontal="right" vertical="center"/>
      <protection hidden="1"/>
    </xf>
    <xf numFmtId="0" fontId="4" fillId="0" borderId="79" xfId="0" applyFont="1" applyBorder="1" applyAlignment="1" applyProtection="1">
      <alignment horizontal="left" vertical="center"/>
      <protection hidden="1"/>
    </xf>
    <xf numFmtId="0" fontId="4" fillId="0" borderId="80" xfId="0" applyFont="1" applyBorder="1" applyAlignment="1" applyProtection="1">
      <alignment horizontal="center" vertical="center"/>
      <protection hidden="1"/>
    </xf>
    <xf numFmtId="0" fontId="4" fillId="0" borderId="81" xfId="0" applyFont="1" applyBorder="1" applyAlignment="1" applyProtection="1">
      <alignment horizontal="left" vertical="center"/>
      <protection hidden="1"/>
    </xf>
    <xf numFmtId="0" fontId="4" fillId="0" borderId="83" xfId="0" applyFont="1" applyBorder="1" applyAlignment="1" applyProtection="1">
      <alignment horizontal="left" vertical="center"/>
      <protection hidden="1"/>
    </xf>
    <xf numFmtId="0" fontId="4" fillId="0" borderId="84" xfId="0" applyFont="1" applyBorder="1" applyAlignment="1" applyProtection="1">
      <alignment horizontal="left" vertical="center"/>
      <protection hidden="1"/>
    </xf>
    <xf numFmtId="0" fontId="4" fillId="0" borderId="8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27" fillId="0" borderId="38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center" vertical="center" wrapTex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vertical="center"/>
      <protection hidden="1"/>
    </xf>
    <xf numFmtId="0" fontId="8" fillId="0" borderId="35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0" fontId="12" fillId="0" borderId="87" xfId="0" applyFont="1" applyBorder="1" applyAlignment="1" applyProtection="1">
      <alignment vertical="center"/>
      <protection hidden="1"/>
    </xf>
    <xf numFmtId="0" fontId="12" fillId="0" borderId="52" xfId="0" applyFont="1" applyBorder="1" applyAlignment="1" applyProtection="1">
      <alignment vertical="center"/>
      <protection hidden="1"/>
    </xf>
    <xf numFmtId="0" fontId="12" fillId="0" borderId="55" xfId="0" applyFont="1" applyBorder="1" applyAlignment="1" applyProtection="1">
      <alignment vertical="center"/>
      <protection hidden="1"/>
    </xf>
    <xf numFmtId="0" fontId="12" fillId="0" borderId="34" xfId="0" applyFont="1" applyBorder="1" applyAlignment="1" applyProtection="1">
      <alignment vertical="center"/>
      <protection hidden="1"/>
    </xf>
    <xf numFmtId="166" fontId="12" fillId="0" borderId="21" xfId="0" applyNumberFormat="1" applyFont="1" applyBorder="1" applyAlignment="1" applyProtection="1">
      <alignment vertical="center"/>
      <protection hidden="1"/>
    </xf>
    <xf numFmtId="166" fontId="12" fillId="0" borderId="33" xfId="0" applyNumberFormat="1" applyFont="1" applyBorder="1" applyAlignment="1" applyProtection="1">
      <alignment vertical="center"/>
      <protection hidden="1"/>
    </xf>
    <xf numFmtId="0" fontId="12" fillId="0" borderId="33" xfId="0" applyFont="1" applyBorder="1" applyAlignment="1" applyProtection="1">
      <alignment vertical="center"/>
      <protection hidden="1"/>
    </xf>
    <xf numFmtId="0" fontId="15" fillId="0" borderId="35" xfId="0" applyFont="1" applyBorder="1" applyAlignment="1" applyProtection="1">
      <alignment vertical="center"/>
      <protection hidden="1"/>
    </xf>
    <xf numFmtId="0" fontId="15" fillId="0" borderId="38" xfId="0" applyFont="1" applyBorder="1" applyAlignment="1" applyProtection="1">
      <alignment vertical="center"/>
      <protection hidden="1"/>
    </xf>
    <xf numFmtId="166" fontId="15" fillId="0" borderId="38" xfId="0" applyNumberFormat="1" applyFont="1" applyBorder="1" applyAlignment="1" applyProtection="1">
      <alignment vertical="center"/>
      <protection hidden="1"/>
    </xf>
    <xf numFmtId="166" fontId="15" fillId="0" borderId="39" xfId="0" applyNumberFormat="1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vertical="center"/>
      <protection hidden="1"/>
    </xf>
    <xf numFmtId="0" fontId="15" fillId="0" borderId="21" xfId="0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166" fontId="8" fillId="0" borderId="21" xfId="0" applyNumberFormat="1" applyFont="1" applyBorder="1" applyAlignment="1" applyProtection="1">
      <alignment vertical="center"/>
      <protection hidden="1"/>
    </xf>
    <xf numFmtId="166" fontId="8" fillId="0" borderId="33" xfId="0" applyNumberFormat="1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2" fontId="23" fillId="0" borderId="0" xfId="0" applyNumberFormat="1" applyFont="1" applyBorder="1" applyAlignment="1" applyProtection="1">
      <alignment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8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" fillId="0" borderId="15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hidden="1"/>
    </xf>
    <xf numFmtId="0" fontId="29" fillId="0" borderId="0" xfId="0" applyFont="1"/>
    <xf numFmtId="0" fontId="1" fillId="0" borderId="0" xfId="0" applyFont="1" applyBorder="1" applyAlignment="1" applyProtection="1">
      <alignment horizontal="center" vertical="center"/>
      <protection hidden="1"/>
    </xf>
    <xf numFmtId="0" fontId="13" fillId="0" borderId="88" xfId="0" applyFont="1" applyBorder="1" applyAlignment="1" applyProtection="1">
      <alignment horizontal="center" vertical="center"/>
      <protection hidden="1"/>
    </xf>
    <xf numFmtId="0" fontId="13" fillId="0" borderId="88" xfId="0" applyFont="1" applyBorder="1" applyAlignment="1" applyProtection="1">
      <alignment horizontal="right" vertical="center"/>
      <protection hidden="1"/>
    </xf>
    <xf numFmtId="0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3" fillId="0" borderId="88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indent="1"/>
      <protection hidden="1"/>
    </xf>
    <xf numFmtId="0" fontId="14" fillId="0" borderId="2" xfId="0" applyFont="1" applyBorder="1" applyAlignment="1" applyProtection="1">
      <alignment horizontal="left" vertical="center" inden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2" fontId="8" fillId="0" borderId="0" xfId="0" applyNumberFormat="1" applyFont="1" applyBorder="1" applyAlignment="1" applyProtection="1">
      <alignment horizontal="left" vertical="center"/>
      <protection hidden="1"/>
    </xf>
    <xf numFmtId="2" fontId="23" fillId="0" borderId="0" xfId="0" applyNumberFormat="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left" vertical="center" indent="1"/>
      <protection hidden="1"/>
    </xf>
    <xf numFmtId="0" fontId="8" fillId="0" borderId="3" xfId="0" applyFont="1" applyFill="1" applyBorder="1" applyAlignment="1" applyProtection="1">
      <alignment horizontal="left" vertical="center" indent="1"/>
      <protection locked="0" hidden="1"/>
    </xf>
    <xf numFmtId="0" fontId="28" fillId="0" borderId="0" xfId="0" applyFont="1" applyBorder="1" applyAlignment="1" applyProtection="1">
      <alignment horizontal="left" vertical="center" inden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4" fillId="3" borderId="1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 applyProtection="1">
      <alignment horizontal="left" vertical="center" indent="1"/>
      <protection hidden="1"/>
    </xf>
    <xf numFmtId="2" fontId="14" fillId="0" borderId="1" xfId="0" applyNumberFormat="1" applyFont="1" applyBorder="1" applyAlignment="1" applyProtection="1">
      <alignment horizontal="left" vertical="center" indent="1"/>
      <protection hidden="1"/>
    </xf>
    <xf numFmtId="0" fontId="14" fillId="0" borderId="7" xfId="0" applyFont="1" applyBorder="1" applyAlignment="1" applyProtection="1">
      <alignment horizontal="left" vertical="center" indent="1"/>
      <protection hidden="1"/>
    </xf>
    <xf numFmtId="0" fontId="14" fillId="0" borderId="5" xfId="0" applyFont="1" applyBorder="1" applyAlignment="1" applyProtection="1">
      <alignment horizontal="left" vertical="center" indent="1"/>
      <protection hidden="1"/>
    </xf>
    <xf numFmtId="0" fontId="14" fillId="0" borderId="6" xfId="0" applyFont="1" applyBorder="1" applyAlignment="1" applyProtection="1">
      <alignment horizontal="left" vertical="center" inden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6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indent="1"/>
      <protection hidden="1"/>
    </xf>
    <xf numFmtId="0" fontId="8" fillId="0" borderId="6" xfId="0" applyFont="1" applyBorder="1" applyAlignment="1" applyProtection="1">
      <alignment horizontal="left" vertical="center" indent="1"/>
      <protection hidden="1"/>
    </xf>
    <xf numFmtId="0" fontId="8" fillId="0" borderId="7" xfId="0" applyFont="1" applyBorder="1" applyAlignment="1" applyProtection="1">
      <alignment horizontal="left" vertical="center" indent="1"/>
      <protection hidden="1"/>
    </xf>
    <xf numFmtId="0" fontId="12" fillId="5" borderId="5" xfId="0" applyFont="1" applyFill="1" applyBorder="1" applyAlignment="1" applyProtection="1">
      <alignment horizontal="left" vertical="center" indent="1"/>
      <protection hidden="1"/>
    </xf>
    <xf numFmtId="0" fontId="12" fillId="5" borderId="6" xfId="0" applyFont="1" applyFill="1" applyBorder="1" applyAlignment="1" applyProtection="1">
      <alignment horizontal="left" vertical="center" indent="1"/>
      <protection hidden="1"/>
    </xf>
    <xf numFmtId="0" fontId="30" fillId="5" borderId="6" xfId="1" applyFont="1" applyFill="1" applyBorder="1" applyAlignment="1" applyProtection="1">
      <alignment horizontal="center" vertical="center"/>
      <protection hidden="1"/>
    </xf>
    <xf numFmtId="0" fontId="12" fillId="5" borderId="6" xfId="0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5" fillId="4" borderId="27" xfId="0" applyFont="1" applyFill="1" applyBorder="1" applyAlignment="1" applyProtection="1">
      <alignment horizontal="center" vertical="center"/>
      <protection hidden="1"/>
    </xf>
    <xf numFmtId="0" fontId="15" fillId="4" borderId="28" xfId="0" applyFont="1" applyFill="1" applyBorder="1" applyAlignment="1" applyProtection="1">
      <alignment horizontal="center" vertical="center"/>
      <protection hidden="1"/>
    </xf>
    <xf numFmtId="0" fontId="15" fillId="4" borderId="29" xfId="0" applyFont="1" applyFill="1" applyBorder="1" applyAlignment="1" applyProtection="1">
      <alignment horizontal="center" vertical="center"/>
      <protection hidden="1"/>
    </xf>
    <xf numFmtId="0" fontId="15" fillId="4" borderId="41" xfId="0" applyFont="1" applyFill="1" applyBorder="1" applyAlignment="1" applyProtection="1">
      <alignment horizontal="center" vertical="center"/>
      <protection hidden="1"/>
    </xf>
    <xf numFmtId="0" fontId="15" fillId="4" borderId="42" xfId="0" applyFont="1" applyFill="1" applyBorder="1" applyAlignment="1" applyProtection="1">
      <alignment horizontal="center" vertical="center"/>
      <protection hidden="1"/>
    </xf>
    <xf numFmtId="0" fontId="27" fillId="4" borderId="59" xfId="0" applyFont="1" applyFill="1" applyBorder="1" applyAlignment="1" applyProtection="1">
      <alignment horizontal="center" vertical="center"/>
      <protection hidden="1"/>
    </xf>
    <xf numFmtId="0" fontId="27" fillId="4" borderId="60" xfId="0" applyFont="1" applyFill="1" applyBorder="1" applyAlignment="1" applyProtection="1">
      <alignment horizontal="center" vertical="center"/>
      <protection hidden="1"/>
    </xf>
    <xf numFmtId="0" fontId="15" fillId="4" borderId="59" xfId="0" applyFont="1" applyFill="1" applyBorder="1" applyAlignment="1" applyProtection="1">
      <alignment horizontal="center" vertical="center" wrapText="1"/>
      <protection hidden="1"/>
    </xf>
    <xf numFmtId="0" fontId="15" fillId="4" borderId="60" xfId="0" applyFont="1" applyFill="1" applyBorder="1" applyAlignment="1" applyProtection="1">
      <alignment horizontal="center" vertical="center" wrapText="1"/>
      <protection hidden="1"/>
    </xf>
    <xf numFmtId="0" fontId="15" fillId="4" borderId="61" xfId="0" applyFont="1" applyFill="1" applyBorder="1" applyAlignment="1" applyProtection="1">
      <alignment horizontal="center" vertical="center" wrapText="1"/>
      <protection hidden="1"/>
    </xf>
    <xf numFmtId="0" fontId="27" fillId="0" borderId="70" xfId="0" applyFont="1" applyBorder="1" applyAlignment="1" applyProtection="1">
      <alignment horizontal="center" vertical="center" wrapText="1"/>
      <protection hidden="1"/>
    </xf>
    <xf numFmtId="0" fontId="27" fillId="0" borderId="56" xfId="0" applyFont="1" applyBorder="1" applyAlignment="1" applyProtection="1">
      <alignment horizontal="center" vertical="center" wrapText="1"/>
      <protection hidden="1"/>
    </xf>
    <xf numFmtId="0" fontId="27" fillId="0" borderId="73" xfId="0" applyFont="1" applyBorder="1" applyAlignment="1" applyProtection="1">
      <alignment horizontal="center" vertical="center" wrapText="1"/>
      <protection hidden="1"/>
    </xf>
    <xf numFmtId="166" fontId="5" fillId="0" borderId="63" xfId="0" applyNumberFormat="1" applyFont="1" applyBorder="1" applyAlignment="1" applyProtection="1">
      <alignment horizontal="center" vertical="center" wrapText="1"/>
      <protection hidden="1"/>
    </xf>
    <xf numFmtId="166" fontId="5" fillId="0" borderId="64" xfId="0" applyNumberFormat="1" applyFont="1" applyBorder="1" applyAlignment="1" applyProtection="1">
      <alignment horizontal="center" vertical="center" wrapText="1"/>
      <protection hidden="1"/>
    </xf>
    <xf numFmtId="166" fontId="5" fillId="0" borderId="57" xfId="0" applyNumberFormat="1" applyFont="1" applyBorder="1" applyAlignment="1" applyProtection="1">
      <alignment horizontal="center" vertical="center" wrapText="1"/>
      <protection hidden="1"/>
    </xf>
    <xf numFmtId="166" fontId="5" fillId="0" borderId="58" xfId="0" applyNumberFormat="1" applyFont="1" applyBorder="1" applyAlignment="1" applyProtection="1">
      <alignment horizontal="center" vertical="center" wrapText="1"/>
      <protection hidden="1"/>
    </xf>
    <xf numFmtId="166" fontId="5" fillId="0" borderId="57" xfId="0" applyNumberFormat="1" applyFont="1" applyBorder="1" applyAlignment="1" applyProtection="1">
      <alignment horizontal="center" vertical="center"/>
      <protection hidden="1"/>
    </xf>
    <xf numFmtId="166" fontId="5" fillId="0" borderId="58" xfId="0" applyNumberFormat="1" applyFont="1" applyBorder="1" applyAlignment="1" applyProtection="1">
      <alignment horizontal="center" vertical="center"/>
      <protection hidden="1"/>
    </xf>
    <xf numFmtId="166" fontId="5" fillId="0" borderId="68" xfId="0" applyNumberFormat="1" applyFont="1" applyBorder="1" applyAlignment="1" applyProtection="1">
      <alignment horizontal="center" vertical="center"/>
      <protection hidden="1"/>
    </xf>
    <xf numFmtId="166" fontId="5" fillId="0" borderId="69" xfId="0" applyNumberFormat="1" applyFont="1" applyBorder="1" applyAlignment="1" applyProtection="1">
      <alignment horizontal="center" vertical="center"/>
      <protection hidden="1"/>
    </xf>
    <xf numFmtId="166" fontId="5" fillId="0" borderId="71" xfId="0" applyNumberFormat="1" applyFont="1" applyBorder="1" applyAlignment="1" applyProtection="1">
      <alignment horizontal="center" vertical="center"/>
      <protection hidden="1"/>
    </xf>
    <xf numFmtId="166" fontId="5" fillId="0" borderId="72" xfId="0" applyNumberFormat="1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24" fillId="0" borderId="44" xfId="0" applyFont="1" applyBorder="1" applyAlignment="1" applyProtection="1">
      <alignment horizontal="center" vertical="center"/>
      <protection hidden="1"/>
    </xf>
    <xf numFmtId="0" fontId="24" fillId="0" borderId="49" xfId="0" applyFont="1" applyBorder="1" applyAlignment="1" applyProtection="1">
      <alignment horizontal="center" vertical="center"/>
      <protection hidden="1"/>
    </xf>
    <xf numFmtId="0" fontId="24" fillId="0" borderId="50" xfId="0" applyFont="1" applyBorder="1" applyAlignment="1" applyProtection="1">
      <alignment horizontal="center" vertical="center"/>
      <protection hidden="1"/>
    </xf>
    <xf numFmtId="0" fontId="15" fillId="4" borderId="59" xfId="0" applyFont="1" applyFill="1" applyBorder="1" applyAlignment="1" applyProtection="1">
      <alignment horizontal="center" vertical="center"/>
      <protection hidden="1"/>
    </xf>
    <xf numFmtId="0" fontId="15" fillId="4" borderId="60" xfId="0" applyFont="1" applyFill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 wrapText="1"/>
      <protection hidden="1"/>
    </xf>
    <xf numFmtId="0" fontId="27" fillId="0" borderId="85" xfId="0" applyFont="1" applyBorder="1" applyAlignment="1" applyProtection="1">
      <alignment horizontal="center" vertical="center" wrapText="1"/>
      <protection hidden="1"/>
    </xf>
    <xf numFmtId="0" fontId="27" fillId="0" borderId="86" xfId="0" applyFont="1" applyBorder="1" applyAlignment="1" applyProtection="1">
      <alignment horizontal="center" vertical="center" wrapText="1"/>
      <protection hidden="1"/>
    </xf>
    <xf numFmtId="0" fontId="15" fillId="4" borderId="61" xfId="0" applyFont="1" applyFill="1" applyBorder="1" applyAlignment="1" applyProtection="1">
      <alignment horizontal="center" vertical="center"/>
      <protection hidden="1"/>
    </xf>
    <xf numFmtId="0" fontId="23" fillId="0" borderId="54" xfId="0" applyFont="1" applyBorder="1" applyAlignment="1" applyProtection="1">
      <alignment horizontal="center" vertical="center" wrapText="1"/>
      <protection hidden="1"/>
    </xf>
    <xf numFmtId="0" fontId="23" fillId="0" borderId="20" xfId="0" applyFont="1" applyBorder="1" applyAlignment="1" applyProtection="1">
      <alignment horizontal="center" vertical="center" wrapText="1"/>
      <protection hidden="1"/>
    </xf>
    <xf numFmtId="0" fontId="23" fillId="0" borderId="37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14" fillId="3" borderId="6" xfId="0" applyFont="1" applyFill="1" applyBorder="1" applyAlignment="1" applyProtection="1">
      <alignment horizontal="center" vertical="center"/>
      <protection locked="0" hidden="1"/>
    </xf>
    <xf numFmtId="164" fontId="14" fillId="0" borderId="6" xfId="0" applyNumberFormat="1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left" vertical="center" indent="1"/>
      <protection locked="0" hidden="1"/>
    </xf>
    <xf numFmtId="0" fontId="15" fillId="0" borderId="6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left" vertical="center" indent="1"/>
      <protection hidden="1"/>
    </xf>
    <xf numFmtId="0" fontId="23" fillId="0" borderId="54" xfId="0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left" vertical="center" indent="1"/>
      <protection hidden="1"/>
    </xf>
    <xf numFmtId="0" fontId="2" fillId="3" borderId="1" xfId="0" applyFont="1" applyFill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166" fontId="27" fillId="0" borderId="74" xfId="0" applyNumberFormat="1" applyFont="1" applyBorder="1" applyAlignment="1" applyProtection="1">
      <alignment horizontal="center" vertical="center" wrapText="1"/>
      <protection hidden="1"/>
    </xf>
    <xf numFmtId="166" fontId="27" fillId="0" borderId="75" xfId="0" applyNumberFormat="1" applyFont="1" applyBorder="1" applyAlignment="1" applyProtection="1">
      <alignment horizontal="center" vertical="center" wrapText="1"/>
      <protection hidden="1"/>
    </xf>
    <xf numFmtId="0" fontId="27" fillId="0" borderId="62" xfId="0" applyFont="1" applyBorder="1" applyAlignment="1" applyProtection="1">
      <alignment horizontal="center" vertical="center" wrapText="1"/>
      <protection hidden="1"/>
    </xf>
    <xf numFmtId="0" fontId="27" fillId="0" borderId="65" xfId="0" applyFont="1" applyBorder="1" applyAlignment="1" applyProtection="1">
      <alignment horizontal="center" vertical="center" wrapText="1"/>
      <protection hidden="1"/>
    </xf>
    <xf numFmtId="166" fontId="5" fillId="0" borderId="63" xfId="0" applyNumberFormat="1" applyFont="1" applyBorder="1" applyAlignment="1" applyProtection="1">
      <alignment horizontal="center" vertical="center"/>
      <protection hidden="1"/>
    </xf>
    <xf numFmtId="166" fontId="5" fillId="0" borderId="64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left" vertical="center" indent="1"/>
      <protection hidden="1"/>
    </xf>
    <xf numFmtId="0" fontId="18" fillId="0" borderId="1" xfId="0" applyFont="1" applyBorder="1" applyAlignment="1" applyProtection="1">
      <alignment horizontal="left" vertical="center" wrapText="1" indent="1"/>
      <protection hidden="1"/>
    </xf>
    <xf numFmtId="0" fontId="23" fillId="0" borderId="48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center" wrapText="1"/>
      <protection hidden="1"/>
    </xf>
    <xf numFmtId="0" fontId="4" fillId="0" borderId="82" xfId="0" applyFont="1" applyBorder="1" applyAlignment="1" applyProtection="1">
      <alignment horizontal="left" vertical="center" wrapText="1"/>
      <protection hidden="1"/>
    </xf>
    <xf numFmtId="0" fontId="4" fillId="0" borderId="83" xfId="0" applyFont="1" applyBorder="1" applyAlignment="1" applyProtection="1">
      <alignment horizontal="left" vertical="center" wrapText="1"/>
      <protection hidden="1"/>
    </xf>
    <xf numFmtId="2" fontId="17" fillId="0" borderId="5" xfId="0" applyNumberFormat="1" applyFont="1" applyBorder="1" applyAlignment="1" applyProtection="1">
      <alignment vertical="center" wrapText="1"/>
      <protection hidden="1"/>
    </xf>
    <xf numFmtId="2" fontId="17" fillId="0" borderId="6" xfId="0" applyNumberFormat="1" applyFont="1" applyBorder="1" applyAlignment="1" applyProtection="1">
      <alignment vertical="center" wrapText="1"/>
      <protection hidden="1"/>
    </xf>
    <xf numFmtId="2" fontId="17" fillId="0" borderId="7" xfId="0" applyNumberFormat="1" applyFont="1" applyBorder="1" applyAlignment="1" applyProtection="1">
      <alignment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locked="0" hidden="1"/>
    </xf>
    <xf numFmtId="0" fontId="7" fillId="3" borderId="7" xfId="0" applyFont="1" applyFill="1" applyBorder="1" applyAlignment="1" applyProtection="1">
      <alignment horizontal="center" vertical="center" wrapText="1"/>
      <protection locked="0" hidden="1"/>
    </xf>
    <xf numFmtId="2" fontId="19" fillId="0" borderId="9" xfId="0" applyNumberFormat="1" applyFont="1" applyBorder="1" applyAlignment="1" applyProtection="1">
      <alignment horizontal="left" vertical="center" indent="1"/>
      <protection hidden="1"/>
    </xf>
    <xf numFmtId="2" fontId="19" fillId="0" borderId="2" xfId="0" applyNumberFormat="1" applyFont="1" applyBorder="1" applyAlignment="1" applyProtection="1">
      <alignment horizontal="left" vertical="center" indent="1"/>
      <protection hidden="1"/>
    </xf>
    <xf numFmtId="2" fontId="19" fillId="0" borderId="12" xfId="0" applyNumberFormat="1" applyFont="1" applyBorder="1" applyAlignment="1" applyProtection="1">
      <alignment horizontal="left" vertical="center" indent="1"/>
      <protection hidden="1"/>
    </xf>
    <xf numFmtId="2" fontId="19" fillId="0" borderId="11" xfId="0" applyNumberFormat="1" applyFont="1" applyBorder="1" applyAlignment="1" applyProtection="1">
      <alignment horizontal="left" vertical="center" indent="1"/>
      <protection hidden="1"/>
    </xf>
    <xf numFmtId="2" fontId="19" fillId="0" borderId="3" xfId="0" applyNumberFormat="1" applyFont="1" applyBorder="1" applyAlignment="1" applyProtection="1">
      <alignment horizontal="left" vertical="center" indent="1"/>
      <protection hidden="1"/>
    </xf>
    <xf numFmtId="2" fontId="19" fillId="0" borderId="8" xfId="0" applyNumberFormat="1" applyFont="1" applyBorder="1" applyAlignment="1" applyProtection="1">
      <alignment horizontal="left" vertical="center" inden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24" fillId="0" borderId="44" xfId="0" quotePrefix="1" applyFont="1" applyBorder="1" applyAlignment="1" applyProtection="1">
      <alignment horizontal="center" vertical="center"/>
      <protection hidden="1"/>
    </xf>
    <xf numFmtId="0" fontId="24" fillId="0" borderId="49" xfId="0" quotePrefix="1" applyFont="1" applyBorder="1" applyAlignment="1" applyProtection="1">
      <alignment horizontal="center" vertical="center"/>
      <protection hidden="1"/>
    </xf>
    <xf numFmtId="0" fontId="24" fillId="0" borderId="50" xfId="0" quotePrefix="1" applyFont="1" applyBorder="1" applyAlignment="1" applyProtection="1">
      <alignment horizontal="center" vertical="center"/>
      <protection hidden="1"/>
    </xf>
    <xf numFmtId="0" fontId="23" fillId="0" borderId="23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locked="0" hidden="1"/>
    </xf>
    <xf numFmtId="0" fontId="7" fillId="3" borderId="7" xfId="0" applyFont="1" applyFill="1" applyBorder="1" applyAlignment="1" applyProtection="1">
      <alignment horizontal="center" vertical="center"/>
      <protection locked="0"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33" xfId="0" applyNumberFormat="1" applyFont="1" applyBorder="1" applyAlignment="1" applyProtection="1">
      <alignment horizontal="center" vertic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/>
    </xf>
    <xf numFmtId="166" fontId="4" fillId="0" borderId="55" xfId="0" applyNumberFormat="1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166" fontId="4" fillId="0" borderId="21" xfId="0" applyNumberFormat="1" applyFont="1" applyBorder="1" applyAlignment="1" applyProtection="1">
      <alignment horizontal="center" vertical="center"/>
      <protection hidden="1"/>
    </xf>
    <xf numFmtId="166" fontId="4" fillId="0" borderId="33" xfId="0" applyNumberFormat="1" applyFont="1" applyBorder="1" applyAlignment="1" applyProtection="1">
      <alignment horizontal="center" vertical="center"/>
      <protection hidden="1"/>
    </xf>
    <xf numFmtId="166" fontId="12" fillId="0" borderId="21" xfId="0" applyNumberFormat="1" applyFont="1" applyBorder="1" applyAlignment="1" applyProtection="1">
      <alignment horizontal="center" vertical="center"/>
      <protection hidden="1"/>
    </xf>
    <xf numFmtId="166" fontId="12" fillId="0" borderId="33" xfId="0" applyNumberFormat="1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9" fontId="8" fillId="0" borderId="21" xfId="0" applyNumberFormat="1" applyFont="1" applyBorder="1" applyAlignment="1" applyProtection="1">
      <alignment horizontal="center" vertical="center"/>
      <protection hidden="1"/>
    </xf>
    <xf numFmtId="9" fontId="8" fillId="0" borderId="33" xfId="0" applyNumberFormat="1" applyFont="1" applyBorder="1" applyAlignment="1" applyProtection="1">
      <alignment horizontal="center" vertical="center"/>
      <protection hidden="1"/>
    </xf>
    <xf numFmtId="166" fontId="27" fillId="0" borderId="38" xfId="0" applyNumberFormat="1" applyFont="1" applyBorder="1" applyAlignment="1" applyProtection="1">
      <alignment horizontal="center" vertical="center"/>
      <protection hidden="1"/>
    </xf>
    <xf numFmtId="166" fontId="27" fillId="0" borderId="39" xfId="0" applyNumberFormat="1" applyFont="1" applyBorder="1" applyAlignment="1" applyProtection="1">
      <alignment horizontal="center" vertical="center"/>
      <protection hidden="1"/>
    </xf>
    <xf numFmtId="0" fontId="27" fillId="0" borderId="87" xfId="0" applyFont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left" vertical="center" wrapText="1" indent="1"/>
      <protection hidden="1"/>
    </xf>
    <xf numFmtId="0" fontId="8" fillId="0" borderId="6" xfId="0" applyFont="1" applyBorder="1" applyAlignment="1" applyProtection="1">
      <alignment horizontal="left" vertical="center" wrapText="1" indent="1"/>
      <protection hidden="1"/>
    </xf>
    <xf numFmtId="0" fontId="8" fillId="0" borderId="7" xfId="0" applyFont="1" applyBorder="1" applyAlignment="1" applyProtection="1">
      <alignment horizontal="left" vertical="center" wrapText="1" indent="1"/>
      <protection hidden="1"/>
    </xf>
    <xf numFmtId="0" fontId="7" fillId="3" borderId="6" xfId="0" applyFont="1" applyFill="1" applyBorder="1" applyAlignment="1" applyProtection="1">
      <alignment horizontal="center" vertical="center"/>
      <protection locked="0" hidden="1"/>
    </xf>
    <xf numFmtId="0" fontId="14" fillId="3" borderId="5" xfId="0" applyFont="1" applyFill="1" applyBorder="1" applyAlignment="1" applyProtection="1">
      <alignment horizontal="center" vertical="center"/>
      <protection locked="0" hidden="1"/>
    </xf>
    <xf numFmtId="0" fontId="14" fillId="3" borderId="7" xfId="0" applyFont="1" applyFill="1" applyBorder="1" applyAlignment="1" applyProtection="1">
      <alignment horizontal="center" vertical="center"/>
      <protection locked="0"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88" xfId="0" applyFont="1" applyBorder="1" applyAlignment="1" applyProtection="1">
      <alignment horizontal="left" vertical="center" wrapText="1"/>
      <protection hidden="1"/>
    </xf>
    <xf numFmtId="0" fontId="13" fillId="0" borderId="88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30" fillId="5" borderId="7" xfId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left" vertical="center"/>
      <protection hidden="1"/>
    </xf>
    <xf numFmtId="0" fontId="14" fillId="0" borderId="9" xfId="0" applyFont="1" applyBorder="1" applyAlignment="1" applyProtection="1">
      <alignment horizontal="left" vertical="center" indent="1"/>
      <protection hidden="1"/>
    </xf>
    <xf numFmtId="0" fontId="14" fillId="0" borderId="2" xfId="0" applyFont="1" applyBorder="1" applyAlignment="1" applyProtection="1">
      <alignment horizontal="left" vertical="center" indent="1"/>
      <protection hidden="1"/>
    </xf>
    <xf numFmtId="0" fontId="14" fillId="0" borderId="11" xfId="0" applyFont="1" applyBorder="1" applyAlignment="1" applyProtection="1">
      <alignment horizontal="left" vertical="center" inden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2" xfId="0" applyFont="1" applyBorder="1" applyAlignment="1" applyProtection="1">
      <alignment horizontal="left" vertical="center" wrapText="1"/>
      <protection hidden="1"/>
    </xf>
    <xf numFmtId="0" fontId="1" fillId="0" borderId="12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/>
      <protection locked="0" hidden="1"/>
    </xf>
    <xf numFmtId="0" fontId="14" fillId="0" borderId="9" xfId="0" applyFont="1" applyBorder="1" applyAlignment="1" applyProtection="1">
      <alignment horizontal="left" vertical="center" wrapText="1" indent="1"/>
      <protection hidden="1"/>
    </xf>
    <xf numFmtId="0" fontId="14" fillId="0" borderId="2" xfId="0" applyFont="1" applyBorder="1" applyAlignment="1" applyProtection="1">
      <alignment horizontal="left" vertical="center" wrapText="1" indent="1"/>
      <protection hidden="1"/>
    </xf>
    <xf numFmtId="0" fontId="14" fillId="0" borderId="11" xfId="0" applyFont="1" applyBorder="1" applyAlignment="1" applyProtection="1">
      <alignment horizontal="left" vertical="center" wrapText="1" indent="1"/>
      <protection hidden="1"/>
    </xf>
    <xf numFmtId="0" fontId="14" fillId="0" borderId="3" xfId="0" applyFont="1" applyBorder="1" applyAlignment="1" applyProtection="1">
      <alignment horizontal="left" vertical="center" wrapText="1" indent="1"/>
      <protection hidden="1"/>
    </xf>
    <xf numFmtId="0" fontId="18" fillId="0" borderId="1" xfId="0" applyFont="1" applyFill="1" applyBorder="1" applyAlignment="1" applyProtection="1">
      <alignment horizontal="left" vertical="center" indent="1"/>
      <protection locked="0"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Font="1" applyFill="1" applyBorder="1" applyAlignment="1" applyProtection="1">
      <alignment horizontal="left" vertical="center" indent="1"/>
      <protection locked="0"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left" vertical="center" indent="1"/>
      <protection hidden="1"/>
    </xf>
  </cellXfs>
  <cellStyles count="2">
    <cellStyle name="Link" xfId="1" builtinId="8"/>
    <cellStyle name="Standard" xfId="0" builtinId="0"/>
  </cellStyles>
  <dxfs count="12">
    <dxf>
      <font>
        <b/>
        <i val="0"/>
        <color rgb="FFFF0000"/>
      </font>
      <numFmt numFmtId="0" formatCode="General"/>
      <fill>
        <patternFill patternType="none">
          <bgColor auto="1"/>
        </patternFill>
      </fill>
    </dxf>
    <dxf>
      <font>
        <b/>
        <i val="0"/>
        <color rgb="FFFF0000"/>
      </font>
      <numFmt numFmtId="0" formatCode="General"/>
      <fill>
        <patternFill patternType="none">
          <bgColor auto="1"/>
        </patternFill>
      </fill>
    </dxf>
    <dxf>
      <font>
        <b/>
        <i val="0"/>
        <color rgb="FFFF0000"/>
      </font>
      <numFmt numFmtId="167" formatCode="&quot;zu groß&quot;"/>
    </dxf>
    <dxf>
      <font>
        <b/>
        <i val="0"/>
        <color rgb="FFFF0000"/>
      </font>
      <numFmt numFmtId="167" formatCode="&quot;zu groß&quot;"/>
    </dxf>
    <dxf>
      <font>
        <b/>
        <i val="0"/>
        <color rgb="FFFF0000"/>
      </font>
      <numFmt numFmtId="167" formatCode="&quot;zu groß&quot;"/>
    </dxf>
    <dxf>
      <font>
        <b/>
        <i val="0"/>
        <color auto="1"/>
      </font>
      <numFmt numFmtId="1" formatCode="0"/>
      <fill>
        <patternFill>
          <bgColor rgb="FFFF0000"/>
        </patternFill>
      </fill>
      <border>
        <vertical/>
        <horizontal/>
      </border>
    </dxf>
    <dxf>
      <font>
        <b/>
        <i val="0"/>
        <color rgb="FFFF0000"/>
      </font>
      <numFmt numFmtId="168" formatCode="&quot;unzulässig&quot;"/>
      <border>
        <vertical/>
        <horizontal/>
      </border>
    </dxf>
    <dxf>
      <font>
        <b/>
        <i val="0"/>
        <color rgb="FFFF0000"/>
      </font>
      <numFmt numFmtId="168" formatCode="&quot;unzulässig&quot;"/>
    </dxf>
    <dxf>
      <font>
        <b/>
        <i val="0"/>
        <color rgb="FFFF0000"/>
      </font>
      <numFmt numFmtId="168" formatCode="&quot;unzulässig&quot;"/>
    </dxf>
    <dxf>
      <font>
        <b/>
        <i val="0"/>
        <color rgb="FFFF0000"/>
      </font>
      <numFmt numFmtId="169" formatCode="&quot;zu klein&quot;"/>
    </dxf>
    <dxf>
      <font>
        <b/>
        <i val="0"/>
        <color rgb="FFFF0000"/>
      </font>
      <numFmt numFmtId="170" formatCode="&quot;DN ändern&quot;"/>
    </dxf>
    <dxf>
      <font>
        <b/>
        <i val="0"/>
        <strike val="0"/>
        <color rgb="FFFF0000"/>
      </font>
      <numFmt numFmtId="167" formatCode="&quot;zu groß&quot;"/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ADCB52"/>
      <color rgb="FF727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18</xdr:col>
      <xdr:colOff>377190</xdr:colOff>
      <xdr:row>3</xdr:row>
      <xdr:rowOff>277368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7559040" cy="119176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74083</xdr:rowOff>
    </xdr:from>
    <xdr:to>
      <xdr:col>0</xdr:col>
      <xdr:colOff>396000</xdr:colOff>
      <xdr:row>2</xdr:row>
      <xdr:rowOff>13657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A78F42D6-2926-43EB-A8B6-90AC5423D324}"/>
            </a:ext>
          </a:extLst>
        </xdr:cNvPr>
        <xdr:cNvSpPr/>
      </xdr:nvSpPr>
      <xdr:spPr>
        <a:xfrm>
          <a:off x="0" y="381000"/>
          <a:ext cx="396000" cy="246490"/>
        </a:xfrm>
        <a:prstGeom prst="rect">
          <a:avLst/>
        </a:prstGeom>
        <a:solidFill>
          <a:srgbClr val="72787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  <a:p>
          <a:pPr algn="ctr"/>
          <a:endParaRPr lang="de-DE"/>
        </a:p>
      </xdr:txBody>
    </xdr:sp>
    <xdr:clientData/>
  </xdr:twoCellAnchor>
  <xdr:twoCellAnchor>
    <xdr:from>
      <xdr:col>0</xdr:col>
      <xdr:colOff>349251</xdr:colOff>
      <xdr:row>1</xdr:row>
      <xdr:rowOff>42332</xdr:rowOff>
    </xdr:from>
    <xdr:to>
      <xdr:col>14</xdr:col>
      <xdr:colOff>101601</xdr:colOff>
      <xdr:row>2</xdr:row>
      <xdr:rowOff>67944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48FEA6B7-D6B8-4405-96D2-9418AC2CCA13}"/>
            </a:ext>
          </a:extLst>
        </xdr:cNvPr>
        <xdr:cNvSpPr txBox="1"/>
      </xdr:nvSpPr>
      <xdr:spPr>
        <a:xfrm>
          <a:off x="349251" y="349249"/>
          <a:ext cx="5382683" cy="332528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600">
              <a:solidFill>
                <a:srgbClr val="72787C"/>
              </a:solidFill>
              <a:latin typeface="Arial" panose="020B0604020202020204" pitchFamily="34" charset="0"/>
              <a:cs typeface="Arial" panose="020B0604020202020204" pitchFamily="34" charset="0"/>
            </a:rPr>
            <a:t>Schachtplanung • Teil</a:t>
          </a:r>
          <a:r>
            <a:rPr lang="de-DE" sz="1600" baseline="0">
              <a:solidFill>
                <a:srgbClr val="72787C"/>
              </a:solidFill>
              <a:latin typeface="Arial" panose="020B0604020202020204" pitchFamily="34" charset="0"/>
              <a:cs typeface="Arial" panose="020B0604020202020204" pitchFamily="34" charset="0"/>
            </a:rPr>
            <a:t> 1: Schachtunterteil</a:t>
          </a:r>
          <a:endParaRPr lang="de-DE">
            <a:solidFill>
              <a:srgbClr val="7278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21166</xdr:colOff>
      <xdr:row>42</xdr:row>
      <xdr:rowOff>42334</xdr:rowOff>
    </xdr:from>
    <xdr:ext cx="7597140" cy="1198118"/>
    <xdr:pic>
      <xdr:nvPicPr>
        <xdr:cNvPr id="10" name="Grafik 9">
          <a:extLst>
            <a:ext uri="{FF2B5EF4-FFF2-40B4-BE49-F238E27FC236}">
              <a16:creationId xmlns:a16="http://schemas.microsoft.com/office/drawing/2014/main" id="{02E0580B-F650-41D0-AD76-DF4E3C954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12689417"/>
          <a:ext cx="7597140" cy="119811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43</xdr:row>
      <xdr:rowOff>137581</xdr:rowOff>
    </xdr:from>
    <xdr:to>
      <xdr:col>0</xdr:col>
      <xdr:colOff>396000</xdr:colOff>
      <xdr:row>44</xdr:row>
      <xdr:rowOff>77155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0E80CBAA-FC41-418F-921F-1C45BD699F5F}"/>
            </a:ext>
          </a:extLst>
        </xdr:cNvPr>
        <xdr:cNvSpPr/>
      </xdr:nvSpPr>
      <xdr:spPr>
        <a:xfrm>
          <a:off x="0" y="13091581"/>
          <a:ext cx="396000" cy="246491"/>
        </a:xfrm>
        <a:prstGeom prst="rect">
          <a:avLst/>
        </a:prstGeom>
        <a:solidFill>
          <a:srgbClr val="72787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  <a:p>
          <a:pPr algn="ctr"/>
          <a:endParaRPr lang="de-DE"/>
        </a:p>
      </xdr:txBody>
    </xdr:sp>
    <xdr:clientData/>
  </xdr:twoCellAnchor>
  <xdr:twoCellAnchor>
    <xdr:from>
      <xdr:col>0</xdr:col>
      <xdr:colOff>349251</xdr:colOff>
      <xdr:row>43</xdr:row>
      <xdr:rowOff>86781</xdr:rowOff>
    </xdr:from>
    <xdr:to>
      <xdr:col>14</xdr:col>
      <xdr:colOff>101601</xdr:colOff>
      <xdr:row>44</xdr:row>
      <xdr:rowOff>108159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F8D6A45A-EB5E-4A93-88D8-5AD23F4DDA9B}"/>
            </a:ext>
          </a:extLst>
        </xdr:cNvPr>
        <xdr:cNvSpPr txBox="1"/>
      </xdr:nvSpPr>
      <xdr:spPr>
        <a:xfrm>
          <a:off x="349251" y="13040781"/>
          <a:ext cx="5382683" cy="328295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600">
              <a:solidFill>
                <a:srgbClr val="72787C"/>
              </a:solidFill>
              <a:latin typeface="Arial" panose="020B0604020202020204" pitchFamily="34" charset="0"/>
              <a:cs typeface="Arial" panose="020B0604020202020204" pitchFamily="34" charset="0"/>
            </a:rPr>
            <a:t>Schachtplanung • Teil</a:t>
          </a:r>
          <a:r>
            <a:rPr lang="de-DE" sz="1600" baseline="0">
              <a:solidFill>
                <a:srgbClr val="72787C"/>
              </a:solidFill>
              <a:latin typeface="Arial" panose="020B0604020202020204" pitchFamily="34" charset="0"/>
              <a:cs typeface="Arial" panose="020B0604020202020204" pitchFamily="34" charset="0"/>
            </a:rPr>
            <a:t> 2: Schachtsystem</a:t>
          </a:r>
          <a:endParaRPr lang="de-DE">
            <a:solidFill>
              <a:srgbClr val="7278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21166</xdr:colOff>
      <xdr:row>80</xdr:row>
      <xdr:rowOff>42334</xdr:rowOff>
    </xdr:from>
    <xdr:ext cx="7597140" cy="1198118"/>
    <xdr:pic>
      <xdr:nvPicPr>
        <xdr:cNvPr id="13" name="Grafik 12">
          <a:extLst>
            <a:ext uri="{FF2B5EF4-FFF2-40B4-BE49-F238E27FC236}">
              <a16:creationId xmlns:a16="http://schemas.microsoft.com/office/drawing/2014/main" id="{E66DAEA2-C8B0-4794-B70A-28F518E5D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" y="12689417"/>
          <a:ext cx="7597140" cy="1198118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81</xdr:row>
      <xdr:rowOff>137581</xdr:rowOff>
    </xdr:from>
    <xdr:to>
      <xdr:col>0</xdr:col>
      <xdr:colOff>396000</xdr:colOff>
      <xdr:row>82</xdr:row>
      <xdr:rowOff>77155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786416A4-0F20-4C18-9EAE-27E7C3A683AC}"/>
            </a:ext>
          </a:extLst>
        </xdr:cNvPr>
        <xdr:cNvSpPr/>
      </xdr:nvSpPr>
      <xdr:spPr>
        <a:xfrm>
          <a:off x="0" y="26056164"/>
          <a:ext cx="396000" cy="246491"/>
        </a:xfrm>
        <a:prstGeom prst="rect">
          <a:avLst/>
        </a:prstGeom>
        <a:solidFill>
          <a:srgbClr val="72787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de-DE"/>
        </a:p>
        <a:p>
          <a:pPr algn="ctr"/>
          <a:endParaRPr lang="de-DE"/>
        </a:p>
      </xdr:txBody>
    </xdr:sp>
    <xdr:clientData/>
  </xdr:twoCellAnchor>
  <xdr:twoCellAnchor>
    <xdr:from>
      <xdr:col>0</xdr:col>
      <xdr:colOff>349251</xdr:colOff>
      <xdr:row>81</xdr:row>
      <xdr:rowOff>97364</xdr:rowOff>
    </xdr:from>
    <xdr:to>
      <xdr:col>14</xdr:col>
      <xdr:colOff>101601</xdr:colOff>
      <xdr:row>82</xdr:row>
      <xdr:rowOff>118742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FEDF6956-0390-49AA-9B3E-BF508087856E}"/>
            </a:ext>
          </a:extLst>
        </xdr:cNvPr>
        <xdr:cNvSpPr txBox="1"/>
      </xdr:nvSpPr>
      <xdr:spPr>
        <a:xfrm>
          <a:off x="349251" y="26015947"/>
          <a:ext cx="5382683" cy="328295"/>
        </a:xfrm>
        <a:prstGeom prst="rect">
          <a:avLst/>
        </a:prstGeom>
        <a:noFill/>
      </xdr:spPr>
      <xdr:txBody>
        <a:bodyPr wrap="square" rtlCol="0" anchor="ctr">
          <a:spAutoFit/>
        </a:bodyPr>
        <a:lstStyle>
          <a:defPPr>
            <a:defRPr lang="de-DE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e-DE" sz="1600">
              <a:solidFill>
                <a:srgbClr val="72787C"/>
              </a:solidFill>
              <a:latin typeface="Arial" panose="020B0604020202020204" pitchFamily="34" charset="0"/>
              <a:cs typeface="Arial" panose="020B0604020202020204" pitchFamily="34" charset="0"/>
            </a:rPr>
            <a:t>Schachtplanung • Teil</a:t>
          </a:r>
          <a:r>
            <a:rPr lang="de-DE" sz="1600" baseline="0">
              <a:solidFill>
                <a:srgbClr val="72787C"/>
              </a:solidFill>
              <a:latin typeface="Arial" panose="020B0604020202020204" pitchFamily="34" charset="0"/>
              <a:cs typeface="Arial" panose="020B0604020202020204" pitchFamily="34" charset="0"/>
            </a:rPr>
            <a:t> 3: Leistungsverzeichnis</a:t>
          </a:r>
          <a:endParaRPr lang="de-DE">
            <a:solidFill>
              <a:srgbClr val="72787C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304799</xdr:colOff>
      <xdr:row>29</xdr:row>
      <xdr:rowOff>57149</xdr:rowOff>
    </xdr:from>
    <xdr:to>
      <xdr:col>18</xdr:col>
      <xdr:colOff>67109</xdr:colOff>
      <xdr:row>36</xdr:row>
      <xdr:rowOff>234149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7E9752A5-0532-4143-A985-75A66A0839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43" t="13167" r="18182" b="15218"/>
        <a:stretch/>
      </xdr:blipFill>
      <xdr:spPr>
        <a:xfrm>
          <a:off x="304799" y="8020049"/>
          <a:ext cx="6963210" cy="284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etonwerk-bieren.de/kontakt/" TargetMode="External"/><Relationship Id="rId2" Type="http://schemas.openxmlformats.org/officeDocument/2006/relationships/hyperlink" Target="https://betonwerk-bieren.de/kontakt/" TargetMode="External"/><Relationship Id="rId1" Type="http://schemas.openxmlformats.org/officeDocument/2006/relationships/hyperlink" Target="https://betonwerk-bieren.de/kontakt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R145"/>
  <sheetViews>
    <sheetView tabSelected="1" topLeftCell="A63" zoomScaleNormal="100" zoomScaleSheetLayoutView="90" workbookViewId="0">
      <selection activeCell="L72" sqref="L72:S73"/>
    </sheetView>
  </sheetViews>
  <sheetFormatPr baseColWidth="10" defaultColWidth="5.7109375" defaultRowHeight="20.100000000000001" customHeight="1" x14ac:dyDescent="0.25"/>
  <cols>
    <col min="1" max="19" width="6" style="1" customWidth="1"/>
    <col min="20" max="20" width="13.140625" style="1" hidden="1" customWidth="1"/>
    <col min="21" max="21" width="9.7109375" style="19" hidden="1" customWidth="1"/>
    <col min="22" max="23" width="9.7109375" style="1" hidden="1" customWidth="1"/>
    <col min="24" max="27" width="9.7109375" style="2" hidden="1" customWidth="1"/>
    <col min="28" max="31" width="9.7109375" style="1" hidden="1" customWidth="1"/>
    <col min="32" max="32" width="9.7109375" style="3" hidden="1" customWidth="1"/>
    <col min="33" max="33" width="9.7109375" style="4" hidden="1" customWidth="1"/>
    <col min="34" max="34" width="6.7109375" style="4" hidden="1" customWidth="1"/>
    <col min="35" max="35" width="9.7109375" style="4" hidden="1" customWidth="1"/>
    <col min="36" max="36" width="9.7109375" style="1" hidden="1" customWidth="1"/>
    <col min="37" max="38" width="9.7109375" style="2" hidden="1" customWidth="1"/>
    <col min="39" max="40" width="9.7109375" style="1" hidden="1" customWidth="1"/>
    <col min="41" max="41" width="9.7109375" style="5" hidden="1" customWidth="1"/>
    <col min="42" max="58" width="9.7109375" style="1" hidden="1" customWidth="1"/>
    <col min="59" max="61" width="9.7109375" style="1" customWidth="1"/>
    <col min="62" max="16384" width="5.7109375" style="1"/>
  </cols>
  <sheetData>
    <row r="1" spans="1:60" ht="24" customHeight="1" thickTop="1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0"/>
      <c r="U1" s="20"/>
      <c r="V1" s="150" t="s">
        <v>48</v>
      </c>
      <c r="W1" s="151"/>
      <c r="X1" s="151"/>
      <c r="Y1" s="151">
        <v>700</v>
      </c>
      <c r="Z1" s="152" t="s">
        <v>8</v>
      </c>
      <c r="AB1" s="20"/>
      <c r="AG1" s="20"/>
      <c r="AH1" s="20"/>
      <c r="AI1" s="20"/>
      <c r="AR1" s="20"/>
      <c r="AS1" s="20"/>
      <c r="BA1" s="43"/>
      <c r="BB1" s="43"/>
      <c r="BC1" s="43"/>
      <c r="BD1" s="43"/>
      <c r="BE1" s="43"/>
      <c r="BH1" s="407" t="s">
        <v>205</v>
      </c>
    </row>
    <row r="2" spans="1:60" ht="24" customHeight="1" thickBot="1" x14ac:dyDescent="0.3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0"/>
      <c r="U2" s="20"/>
      <c r="V2" s="344" t="s">
        <v>96</v>
      </c>
      <c r="W2" s="345"/>
      <c r="X2" s="153" t="s">
        <v>21</v>
      </c>
      <c r="Y2" s="155">
        <f>VLOOKUP(MAX(G24:H27),minh,3,FALSE)</f>
        <v>500</v>
      </c>
      <c r="Z2" s="154" t="s">
        <v>8</v>
      </c>
      <c r="AA2" s="29"/>
      <c r="AB2" s="20"/>
      <c r="AG2" s="20"/>
      <c r="AH2" s="29"/>
      <c r="AI2" s="29"/>
      <c r="AR2" s="20"/>
      <c r="AS2" s="20"/>
      <c r="BA2" s="43"/>
      <c r="BB2" s="43"/>
      <c r="BC2" s="43"/>
      <c r="BD2" s="43"/>
      <c r="BE2" s="43"/>
    </row>
    <row r="3" spans="1:60" ht="24" customHeight="1" thickTop="1" thickBot="1" x14ac:dyDescent="0.3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0"/>
      <c r="U3" s="20"/>
      <c r="V3" s="20"/>
      <c r="AB3" s="20"/>
      <c r="AG3" s="20"/>
      <c r="AH3" s="29"/>
      <c r="AI3" s="29"/>
      <c r="AR3" s="11"/>
      <c r="AS3" s="11"/>
      <c r="AT3" s="11"/>
      <c r="BA3" s="43"/>
      <c r="BB3" s="43"/>
      <c r="BC3" s="43"/>
      <c r="BD3" s="43"/>
      <c r="BE3" s="43"/>
    </row>
    <row r="4" spans="1:60" ht="24" customHeight="1" thickTop="1" thickBot="1" x14ac:dyDescent="0.3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0"/>
      <c r="U4" s="20"/>
      <c r="V4" s="261" t="s">
        <v>97</v>
      </c>
      <c r="W4" s="262"/>
      <c r="X4" s="262"/>
      <c r="Y4" s="262"/>
      <c r="Z4" s="262"/>
      <c r="AA4" s="262"/>
      <c r="AB4" s="262"/>
      <c r="AC4" s="263"/>
      <c r="AE4" s="264" t="s">
        <v>68</v>
      </c>
      <c r="AF4" s="265"/>
      <c r="AR4" s="11"/>
      <c r="AS4" s="11"/>
      <c r="AT4" s="11"/>
      <c r="BA4" s="43"/>
      <c r="BB4" s="43"/>
      <c r="BC4" s="43"/>
      <c r="BD4" s="43"/>
      <c r="BE4" s="43"/>
    </row>
    <row r="5" spans="1:60" ht="12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0"/>
      <c r="U5" s="20"/>
      <c r="V5" s="288" t="s">
        <v>57</v>
      </c>
      <c r="W5" s="286"/>
      <c r="X5" s="284" t="s">
        <v>53</v>
      </c>
      <c r="Y5" s="285"/>
      <c r="Z5" s="286"/>
      <c r="AA5" s="284" t="s">
        <v>54</v>
      </c>
      <c r="AB5" s="285"/>
      <c r="AC5" s="287"/>
      <c r="AE5" s="73" t="s">
        <v>53</v>
      </c>
      <c r="AF5" s="74" t="s">
        <v>54</v>
      </c>
      <c r="AR5" s="11"/>
      <c r="AS5" s="11"/>
      <c r="AT5" s="11"/>
      <c r="AU5" s="93"/>
      <c r="AV5" s="93"/>
      <c r="BA5" s="43"/>
      <c r="BB5" s="43"/>
      <c r="BC5" s="43"/>
      <c r="BD5" s="43"/>
      <c r="BE5" s="43"/>
    </row>
    <row r="6" spans="1:60" ht="24" customHeight="1" x14ac:dyDescent="0.25">
      <c r="A6" s="20"/>
      <c r="B6" s="235" t="s">
        <v>155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0"/>
      <c r="T6" s="20"/>
      <c r="U6" s="20"/>
      <c r="V6" s="289"/>
      <c r="W6" s="290"/>
      <c r="X6" s="296" t="s">
        <v>65</v>
      </c>
      <c r="Y6" s="297"/>
      <c r="Z6" s="290"/>
      <c r="AA6" s="296" t="s">
        <v>66</v>
      </c>
      <c r="AB6" s="297"/>
      <c r="AC6" s="298"/>
      <c r="AE6" s="64"/>
      <c r="AF6" s="66"/>
      <c r="BA6" s="43"/>
      <c r="BB6" s="43"/>
      <c r="BC6" s="43"/>
      <c r="BD6" s="43"/>
      <c r="BE6" s="43"/>
    </row>
    <row r="7" spans="1:60" ht="12" customHeight="1" x14ac:dyDescent="0.25">
      <c r="A7" s="20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0"/>
      <c r="T7" s="20"/>
      <c r="U7" s="20"/>
      <c r="V7" s="65" t="s">
        <v>7</v>
      </c>
      <c r="W7" s="61" t="s">
        <v>31</v>
      </c>
      <c r="X7" s="60" t="s">
        <v>7</v>
      </c>
      <c r="Y7" s="62" t="s">
        <v>31</v>
      </c>
      <c r="Z7" s="61" t="s">
        <v>67</v>
      </c>
      <c r="AA7" s="60" t="s">
        <v>7</v>
      </c>
      <c r="AB7" s="62" t="s">
        <v>31</v>
      </c>
      <c r="AC7" s="66" t="s">
        <v>67</v>
      </c>
      <c r="AE7" s="64"/>
      <c r="AF7" s="66"/>
      <c r="BA7" s="43"/>
      <c r="BB7" s="43"/>
      <c r="BC7" s="43"/>
      <c r="BD7" s="43"/>
      <c r="BE7" s="43"/>
    </row>
    <row r="8" spans="1:60" ht="24.95" customHeight="1" thickBot="1" x14ac:dyDescent="0.3">
      <c r="A8" s="236" t="s">
        <v>0</v>
      </c>
      <c r="B8" s="236"/>
      <c r="C8" s="236"/>
      <c r="D8" s="322" t="s">
        <v>160</v>
      </c>
      <c r="E8" s="322"/>
      <c r="F8" s="322"/>
      <c r="G8" s="322"/>
      <c r="H8" s="322"/>
      <c r="I8" s="322"/>
      <c r="J8" s="7"/>
      <c r="K8" s="236" t="s">
        <v>52</v>
      </c>
      <c r="L8" s="236"/>
      <c r="M8" s="236"/>
      <c r="N8" s="322">
        <v>123456</v>
      </c>
      <c r="O8" s="322"/>
      <c r="P8" s="322"/>
      <c r="Q8" s="322"/>
      <c r="R8" s="322"/>
      <c r="S8" s="322"/>
      <c r="T8" s="20"/>
      <c r="U8" s="20"/>
      <c r="V8" s="64" t="str">
        <f>IF(G24="","",G24)</f>
        <v/>
      </c>
      <c r="W8" s="61" t="str">
        <f>IF(V8="","",VLOOKUP(V8,Muffenplatz,3,FALSE))</f>
        <v/>
      </c>
      <c r="X8" s="39" t="str">
        <f>IF(G24="","",LOOKUP(2,1/(V8:V11&lt;&gt;""),V8:V11))</f>
        <v/>
      </c>
      <c r="Y8" s="62" t="str">
        <f>IF(V8="","",VLOOKUP(X8,Muffenplatz,3,FALSE))</f>
        <v/>
      </c>
      <c r="Z8" s="61" t="e">
        <f>(W8+Y8)/2</f>
        <v>#VALUE!</v>
      </c>
      <c r="AA8" s="39" t="str">
        <f>IF(V9="",V8,V9)</f>
        <v/>
      </c>
      <c r="AB8" s="62" t="str">
        <f>IF(AA8="","",VLOOKUP(AA8,Muffenplatz,3,FALSE))</f>
        <v/>
      </c>
      <c r="AC8" s="67" t="e">
        <f>(W8+AB8)/2</f>
        <v>#VALUE!</v>
      </c>
      <c r="AE8" s="64" t="e">
        <f>Z8</f>
        <v>#VALUE!</v>
      </c>
      <c r="AF8" s="66" t="e">
        <f>AC8</f>
        <v>#VALUE!</v>
      </c>
      <c r="BA8" s="43"/>
      <c r="BB8" s="43"/>
      <c r="BC8" s="43"/>
      <c r="BD8" s="43"/>
      <c r="BE8" s="43"/>
    </row>
    <row r="9" spans="1:60" ht="19.5" thickTop="1" thickBot="1" x14ac:dyDescent="0.3">
      <c r="A9" s="217"/>
      <c r="B9" s="217"/>
      <c r="C9" s="217"/>
      <c r="D9" s="202"/>
      <c r="E9" s="5"/>
      <c r="F9" s="5"/>
      <c r="G9" s="5"/>
      <c r="H9" s="5"/>
      <c r="I9" s="5"/>
      <c r="J9" s="7"/>
      <c r="T9" s="20"/>
      <c r="U9" s="20"/>
      <c r="V9" s="64" t="str">
        <f>IF(G25="","",G25)</f>
        <v/>
      </c>
      <c r="W9" s="61" t="str">
        <f>IF(OR(V8="",V9=""),"",VLOOKUP(V9,Muffenplatz,3,FALSE))</f>
        <v/>
      </c>
      <c r="X9" s="39" t="str">
        <f>V8</f>
        <v/>
      </c>
      <c r="Y9" s="62" t="str">
        <f>IF(V9="","",VLOOKUP(X9,Muffenplatz,3,FALSE))</f>
        <v/>
      </c>
      <c r="Z9" s="61" t="e">
        <f>(W9+Y9)/2</f>
        <v>#VALUE!</v>
      </c>
      <c r="AA9" s="39" t="str">
        <f>IF(V10="",V8,V10)</f>
        <v/>
      </c>
      <c r="AB9" s="62" t="str">
        <f>IF(AA9="","",VLOOKUP(AA9,Muffenplatz,3,FALSE))</f>
        <v/>
      </c>
      <c r="AC9" s="67" t="e">
        <f>(W9+AB9)/2</f>
        <v>#VALUE!</v>
      </c>
      <c r="AE9" s="64" t="e">
        <f>Z9</f>
        <v>#VALUE!</v>
      </c>
      <c r="AF9" s="66" t="e">
        <f>AC9</f>
        <v>#VALUE!</v>
      </c>
      <c r="AV9" s="268" t="s">
        <v>109</v>
      </c>
      <c r="AW9" s="269"/>
      <c r="AX9" s="269"/>
      <c r="AY9" s="269"/>
      <c r="AZ9" s="270"/>
    </row>
    <row r="10" spans="1:60" ht="24.95" customHeight="1" thickTop="1" thickBot="1" x14ac:dyDescent="0.3">
      <c r="A10" s="236" t="s">
        <v>2</v>
      </c>
      <c r="B10" s="236"/>
      <c r="C10" s="236"/>
      <c r="D10" s="322" t="s">
        <v>195</v>
      </c>
      <c r="E10" s="322"/>
      <c r="F10" s="322"/>
      <c r="G10" s="322"/>
      <c r="H10" s="322"/>
      <c r="I10" s="322"/>
      <c r="J10" s="7"/>
      <c r="K10" s="236" t="s">
        <v>1</v>
      </c>
      <c r="L10" s="236"/>
      <c r="M10" s="236"/>
      <c r="N10" s="322" t="s">
        <v>157</v>
      </c>
      <c r="O10" s="322"/>
      <c r="P10" s="322"/>
      <c r="Q10" s="322"/>
      <c r="R10" s="322"/>
      <c r="S10" s="322"/>
      <c r="T10" s="20"/>
      <c r="U10" s="20"/>
      <c r="V10" s="64" t="str">
        <f>IF(G26="","",G26)</f>
        <v/>
      </c>
      <c r="W10" s="61" t="str">
        <f>IF(OR(V8="",V9="",V10=""),"",VLOOKUP(V10,Muffenplatz,3,FALSE))</f>
        <v/>
      </c>
      <c r="X10" s="39" t="str">
        <f>V9</f>
        <v/>
      </c>
      <c r="Y10" s="62" t="str">
        <f>IF(V10="","",VLOOKUP(X10,Muffenplatz,3,FALSE))</f>
        <v/>
      </c>
      <c r="Z10" s="61" t="e">
        <f>(W10+Y10)/2</f>
        <v>#VALUE!</v>
      </c>
      <c r="AA10" s="39" t="str">
        <f>IF(V11="",V8,V11)</f>
        <v/>
      </c>
      <c r="AB10" s="62" t="str">
        <f>IF(AA10="","",VLOOKUP(AA10,Muffenplatz,3,FALSE))</f>
        <v/>
      </c>
      <c r="AC10" s="67" t="e">
        <f>(W10+AB10)/2</f>
        <v>#VALUE!</v>
      </c>
      <c r="AE10" s="64" t="e">
        <f>Z10</f>
        <v>#VALUE!</v>
      </c>
      <c r="AF10" s="66" t="e">
        <f>AC10</f>
        <v>#VALUE!</v>
      </c>
      <c r="AP10" s="268" t="s">
        <v>94</v>
      </c>
      <c r="AQ10" s="269"/>
      <c r="AR10" s="269"/>
      <c r="AS10" s="269"/>
      <c r="AT10" s="270"/>
      <c r="AV10" s="388" t="s">
        <v>98</v>
      </c>
      <c r="AW10" s="159" t="s">
        <v>82</v>
      </c>
      <c r="AX10" s="160" t="s">
        <v>69</v>
      </c>
      <c r="AY10" s="375">
        <f>PI()*AS16^2</f>
        <v>0.78539816339744828</v>
      </c>
      <c r="AZ10" s="376"/>
    </row>
    <row r="11" spans="1:60" ht="19.5" thickTop="1" thickBot="1" x14ac:dyDescent="0.3">
      <c r="A11" s="218"/>
      <c r="B11" s="218"/>
      <c r="C11" s="218"/>
      <c r="D11" s="202"/>
      <c r="E11" s="5"/>
      <c r="F11" s="5"/>
      <c r="G11" s="5"/>
      <c r="H11" s="5"/>
      <c r="I11" s="5"/>
      <c r="J11" s="7"/>
      <c r="K11" s="217"/>
      <c r="L11" s="217"/>
      <c r="M11" s="217"/>
      <c r="N11" s="5"/>
      <c r="O11" s="5"/>
      <c r="P11" s="5"/>
      <c r="Q11" s="5"/>
      <c r="R11" s="5"/>
      <c r="S11" s="202"/>
      <c r="T11" s="20"/>
      <c r="U11" s="20"/>
      <c r="V11" s="68" t="str">
        <f>IF(G27="","",G27)</f>
        <v/>
      </c>
      <c r="W11" s="69" t="str">
        <f>IF(OR(V8="",V9="",V10="",V11=""),"",VLOOKUP(V11,Muffenplatz,3,FALSE))</f>
        <v/>
      </c>
      <c r="X11" s="70" t="str">
        <f>V10</f>
        <v/>
      </c>
      <c r="Y11" s="71" t="str">
        <f>IF(V11="","",VLOOKUP(X11,Muffenplatz,3,FALSE))</f>
        <v/>
      </c>
      <c r="Z11" s="69" t="e">
        <f>(W11+Y11)/2</f>
        <v>#VALUE!</v>
      </c>
      <c r="AA11" s="70" t="str">
        <f>V8</f>
        <v/>
      </c>
      <c r="AB11" s="71" t="str">
        <f>IF(AA11="","",VLOOKUP(AA11,Muffenplatz,3,FALSE))</f>
        <v/>
      </c>
      <c r="AC11" s="72" t="e">
        <f>(W11+AB11)/2</f>
        <v>#VALUE!</v>
      </c>
      <c r="AE11" s="68" t="e">
        <f>Z11</f>
        <v>#VALUE!</v>
      </c>
      <c r="AF11" s="75" t="e">
        <f>AC11</f>
        <v>#VALUE!</v>
      </c>
      <c r="AP11" s="109"/>
      <c r="AQ11" s="110"/>
      <c r="AR11" s="110"/>
      <c r="AS11" s="110" t="s">
        <v>21</v>
      </c>
      <c r="AT11" s="111" t="s">
        <v>64</v>
      </c>
      <c r="AV11" s="389"/>
      <c r="AW11" s="156" t="s">
        <v>99</v>
      </c>
      <c r="AX11" s="156" t="s">
        <v>61</v>
      </c>
      <c r="AY11" s="377">
        <f>MAX(G24:H27)/1000</f>
        <v>0</v>
      </c>
      <c r="AZ11" s="378"/>
    </row>
    <row r="12" spans="1:60" ht="24.95" customHeight="1" thickTop="1" x14ac:dyDescent="0.25">
      <c r="A12" s="236" t="s">
        <v>4</v>
      </c>
      <c r="B12" s="236"/>
      <c r="C12" s="236"/>
      <c r="D12" s="322" t="s">
        <v>156</v>
      </c>
      <c r="E12" s="322"/>
      <c r="F12" s="322"/>
      <c r="G12" s="322"/>
      <c r="H12" s="322"/>
      <c r="I12" s="322"/>
      <c r="J12" s="7"/>
      <c r="K12" s="236" t="s">
        <v>3</v>
      </c>
      <c r="L12" s="236"/>
      <c r="M12" s="236"/>
      <c r="N12" s="322" t="s">
        <v>158</v>
      </c>
      <c r="O12" s="322"/>
      <c r="P12" s="322"/>
      <c r="Q12" s="322"/>
      <c r="R12" s="322"/>
      <c r="S12" s="322"/>
      <c r="T12" s="20"/>
      <c r="U12" s="20"/>
      <c r="AP12" s="299" t="s">
        <v>71</v>
      </c>
      <c r="AQ12" s="102" t="s">
        <v>7</v>
      </c>
      <c r="AR12" s="102" t="s">
        <v>61</v>
      </c>
      <c r="AS12" s="274">
        <f>G16/1000</f>
        <v>1</v>
      </c>
      <c r="AT12" s="275"/>
      <c r="AV12" s="389"/>
      <c r="AW12" s="156" t="s">
        <v>100</v>
      </c>
      <c r="AX12" s="156" t="s">
        <v>61</v>
      </c>
      <c r="AY12" s="377">
        <f>IF(AY11&gt;0.5,0.5,AY11)</f>
        <v>0</v>
      </c>
      <c r="AZ12" s="378"/>
    </row>
    <row r="13" spans="1:60" ht="12" customHeight="1" thickBo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AG13" s="190"/>
      <c r="AP13" s="300"/>
      <c r="AQ13" s="96" t="s">
        <v>70</v>
      </c>
      <c r="AR13" s="96" t="s">
        <v>61</v>
      </c>
      <c r="AS13" s="276">
        <f>Q16/1000</f>
        <v>0.15</v>
      </c>
      <c r="AT13" s="277"/>
      <c r="AV13" s="389"/>
      <c r="AW13" s="157" t="s">
        <v>101</v>
      </c>
      <c r="AX13" s="157" t="s">
        <v>77</v>
      </c>
      <c r="AY13" s="379">
        <f>AY10*AY12*AS18</f>
        <v>0</v>
      </c>
      <c r="AZ13" s="380"/>
    </row>
    <row r="14" spans="1:60" ht="12" customHeight="1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0"/>
      <c r="U14" s="20"/>
      <c r="V14" s="294" t="s">
        <v>92</v>
      </c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190"/>
      <c r="AH14" s="29"/>
      <c r="AI14" s="294" t="s">
        <v>93</v>
      </c>
      <c r="AJ14" s="295"/>
      <c r="AK14" s="295"/>
      <c r="AL14" s="302"/>
      <c r="AM14" s="264" t="s">
        <v>67</v>
      </c>
      <c r="AN14" s="265"/>
      <c r="AP14" s="300"/>
      <c r="AQ14" s="96" t="s">
        <v>72</v>
      </c>
      <c r="AR14" s="96" t="s">
        <v>61</v>
      </c>
      <c r="AS14" s="276">
        <f>AS12+2*AS13</f>
        <v>1.3</v>
      </c>
      <c r="AT14" s="277"/>
      <c r="AV14" s="389"/>
      <c r="AW14" s="383" t="s">
        <v>102</v>
      </c>
      <c r="AX14" s="157" t="s">
        <v>107</v>
      </c>
      <c r="AY14" s="371">
        <f>G24/1000</f>
        <v>0</v>
      </c>
      <c r="AZ14" s="372"/>
    </row>
    <row r="15" spans="1:60" s="178" customFormat="1" ht="24.95" customHeight="1" thickTop="1" thickBot="1" x14ac:dyDescent="0.3">
      <c r="A15" s="238" t="s">
        <v>5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V15" s="363" t="s">
        <v>35</v>
      </c>
      <c r="W15" s="76" t="s">
        <v>39</v>
      </c>
      <c r="X15" s="77"/>
      <c r="Y15" s="78">
        <v>0</v>
      </c>
      <c r="Z15" s="79"/>
      <c r="AA15" s="79"/>
      <c r="AB15" s="80"/>
      <c r="AC15" s="79"/>
      <c r="AD15" s="79"/>
      <c r="AE15" s="81" t="s">
        <v>33</v>
      </c>
      <c r="AF15" s="82" t="s">
        <v>32</v>
      </c>
      <c r="AG15" s="190"/>
      <c r="AH15" s="29"/>
      <c r="AI15" s="116" t="s">
        <v>87</v>
      </c>
      <c r="AJ15" s="117"/>
      <c r="AK15" s="117"/>
      <c r="AL15" s="118" t="s">
        <v>21</v>
      </c>
      <c r="AM15" s="93" t="s">
        <v>21</v>
      </c>
      <c r="AN15" s="113" t="s">
        <v>64</v>
      </c>
      <c r="AP15" s="300"/>
      <c r="AQ15" s="97" t="s">
        <v>73</v>
      </c>
      <c r="AR15" s="97" t="s">
        <v>61</v>
      </c>
      <c r="AS15" s="278">
        <f>AS14/2</f>
        <v>0.65</v>
      </c>
      <c r="AT15" s="279"/>
      <c r="AV15" s="389"/>
      <c r="AW15" s="383"/>
      <c r="AX15" s="157" t="s">
        <v>108</v>
      </c>
      <c r="AY15" s="371" t="str">
        <f>IF(AY14&gt;0.5,100/(100/AY14*0.5*0.6),"2")</f>
        <v>2</v>
      </c>
      <c r="AZ15" s="372"/>
    </row>
    <row r="16" spans="1:60" ht="24.95" customHeight="1" x14ac:dyDescent="0.25">
      <c r="A16" s="247" t="s">
        <v>6</v>
      </c>
      <c r="B16" s="248"/>
      <c r="C16" s="248"/>
      <c r="D16" s="189" t="s">
        <v>7</v>
      </c>
      <c r="E16" s="28"/>
      <c r="F16" s="9"/>
      <c r="G16" s="323">
        <v>1000</v>
      </c>
      <c r="H16" s="323"/>
      <c r="I16" s="10" t="s">
        <v>8</v>
      </c>
      <c r="J16" s="20"/>
      <c r="K16" s="247" t="s">
        <v>9</v>
      </c>
      <c r="L16" s="248"/>
      <c r="M16" s="248"/>
      <c r="N16" s="189" t="s">
        <v>10</v>
      </c>
      <c r="O16" s="27" t="s">
        <v>11</v>
      </c>
      <c r="P16" s="9"/>
      <c r="Q16" s="316">
        <f>IF(OR(G24=600,G25=600,G26=600,G27=600),200,150)</f>
        <v>150</v>
      </c>
      <c r="R16" s="316"/>
      <c r="S16" s="26" t="s">
        <v>8</v>
      </c>
      <c r="T16" s="20"/>
      <c r="U16" s="20"/>
      <c r="V16" s="364"/>
      <c r="W16" s="366" t="s">
        <v>56</v>
      </c>
      <c r="X16" s="31" t="s">
        <v>57</v>
      </c>
      <c r="Y16" s="32"/>
      <c r="Z16" s="318" t="s">
        <v>58</v>
      </c>
      <c r="AA16" s="31" t="s">
        <v>59</v>
      </c>
      <c r="AB16" s="32">
        <v>0</v>
      </c>
      <c r="AC16" s="321" t="s">
        <v>60</v>
      </c>
      <c r="AD16" s="31" t="s">
        <v>59</v>
      </c>
      <c r="AE16" s="36"/>
      <c r="AF16" s="83">
        <f>Y15</f>
        <v>0</v>
      </c>
      <c r="AH16" s="29"/>
      <c r="AI16" s="134" t="s">
        <v>91</v>
      </c>
      <c r="AJ16" s="135"/>
      <c r="AK16" s="107" t="s">
        <v>61</v>
      </c>
      <c r="AL16" s="148" t="str">
        <f>IF(G24="","",G24/1000)</f>
        <v/>
      </c>
      <c r="AM16" s="136"/>
      <c r="AN16" s="137"/>
      <c r="AP16" s="300"/>
      <c r="AQ16" s="97" t="s">
        <v>83</v>
      </c>
      <c r="AR16" s="97" t="s">
        <v>61</v>
      </c>
      <c r="AS16" s="278">
        <f>AS12/2</f>
        <v>0.5</v>
      </c>
      <c r="AT16" s="279"/>
      <c r="AV16" s="389"/>
      <c r="AW16" s="383"/>
      <c r="AX16" s="157" t="s">
        <v>76</v>
      </c>
      <c r="AY16" s="373">
        <f>(PI()*((G24/2/1000)^2))*(AS12*0.4)/AY15</f>
        <v>0</v>
      </c>
      <c r="AZ16" s="374"/>
    </row>
    <row r="17" spans="1:70" ht="24.95" customHeight="1" x14ac:dyDescent="0.25">
      <c r="A17" s="307" t="s">
        <v>12</v>
      </c>
      <c r="B17" s="308"/>
      <c r="C17" s="308"/>
      <c r="D17" s="189" t="s">
        <v>13</v>
      </c>
      <c r="E17" s="313" t="s">
        <v>14</v>
      </c>
      <c r="F17" s="313"/>
      <c r="G17" s="316">
        <f>IF(AND(G24="",G25="",G26="",G27=""),G18-Q17,IF((MAX(T24:T27)+Y2)&lt;G18-Q17,G18-Q17,(MAX(T24:T27)+Y2)))</f>
        <v>550</v>
      </c>
      <c r="H17" s="316"/>
      <c r="I17" s="25" t="s">
        <v>8</v>
      </c>
      <c r="J17" s="20"/>
      <c r="K17" s="247"/>
      <c r="L17" s="248"/>
      <c r="M17" s="248"/>
      <c r="N17" s="189" t="s">
        <v>15</v>
      </c>
      <c r="O17" s="27" t="s">
        <v>16</v>
      </c>
      <c r="P17" s="9"/>
      <c r="Q17" s="316">
        <f>IF(AND(G24="",G25="",G26="",G27=""),150,150)</f>
        <v>150</v>
      </c>
      <c r="R17" s="316"/>
      <c r="S17" s="26" t="s">
        <v>8</v>
      </c>
      <c r="T17" s="20"/>
      <c r="U17" s="20"/>
      <c r="V17" s="364"/>
      <c r="W17" s="342"/>
      <c r="X17" s="33" t="s">
        <v>53</v>
      </c>
      <c r="Y17" s="34" t="str">
        <f>IF(G24="","",AE8)</f>
        <v/>
      </c>
      <c r="Z17" s="319"/>
      <c r="AA17" s="33" t="s">
        <v>45</v>
      </c>
      <c r="AB17" s="35" t="str">
        <f>IF(G24="","",Y17/2)</f>
        <v/>
      </c>
      <c r="AC17" s="304"/>
      <c r="AD17" s="33" t="s">
        <v>45</v>
      </c>
      <c r="AE17" s="37" t="str">
        <f>IF(G24="","",400-AB17)</f>
        <v/>
      </c>
      <c r="AF17" s="84" t="str">
        <f>AE17</f>
        <v/>
      </c>
      <c r="AH17" s="29"/>
      <c r="AI17" s="114" t="s">
        <v>89</v>
      </c>
      <c r="AJ17" s="115"/>
      <c r="AK17" s="97" t="s">
        <v>76</v>
      </c>
      <c r="AL17" s="101" t="str">
        <f>IF(G24="","",((PI()*AL16^2)/4)*0.25)</f>
        <v/>
      </c>
      <c r="AM17" s="98"/>
      <c r="AN17" s="138"/>
      <c r="AP17" s="300"/>
      <c r="AQ17" s="97" t="s">
        <v>12</v>
      </c>
      <c r="AR17" s="97" t="s">
        <v>61</v>
      </c>
      <c r="AS17" s="100">
        <f>G18/1000</f>
        <v>0.7</v>
      </c>
      <c r="AT17" s="99">
        <f>G19/1000</f>
        <v>0.7</v>
      </c>
      <c r="AV17" s="389"/>
      <c r="AW17" s="383" t="s">
        <v>103</v>
      </c>
      <c r="AX17" s="157" t="s">
        <v>107</v>
      </c>
      <c r="AY17" s="371">
        <f>G25/1000</f>
        <v>0</v>
      </c>
      <c r="AZ17" s="372"/>
      <c r="BF17" s="43"/>
      <c r="BG17" s="43"/>
      <c r="BM17" s="43"/>
      <c r="BN17" s="43"/>
      <c r="BO17" s="43"/>
      <c r="BP17" s="43"/>
      <c r="BQ17" s="43"/>
      <c r="BR17" s="43"/>
    </row>
    <row r="18" spans="1:70" ht="24.95" customHeight="1" thickBot="1" x14ac:dyDescent="0.3">
      <c r="A18" s="309"/>
      <c r="B18" s="310"/>
      <c r="C18" s="310"/>
      <c r="D18" s="189" t="s">
        <v>17</v>
      </c>
      <c r="E18" s="313" t="s">
        <v>14</v>
      </c>
      <c r="F18" s="313"/>
      <c r="G18" s="317">
        <f>IF(AND(G24="",G25="",G26="",G27=""),Y1,IF((ROUNDUP((MAX(T24:T27)+Q17+Y2)/25,0)*25)&lt;Y1,Y1,(ROUNDUP((MAX(T24:T27)+Q17+Y2)/25,0)*25)))</f>
        <v>700</v>
      </c>
      <c r="H18" s="317"/>
      <c r="I18" s="25" t="s">
        <v>8</v>
      </c>
      <c r="J18" s="178" t="s">
        <v>124</v>
      </c>
      <c r="K18" s="244" t="s">
        <v>51</v>
      </c>
      <c r="L18" s="244"/>
      <c r="M18" s="247"/>
      <c r="N18" s="189" t="s">
        <v>17</v>
      </c>
      <c r="O18" s="306" t="str">
        <f>G18&amp;" mm"</f>
        <v>700 mm</v>
      </c>
      <c r="P18" s="306"/>
      <c r="Q18" s="315">
        <f>ROUNDUP(BE28,1)</f>
        <v>1.9000000000000001</v>
      </c>
      <c r="R18" s="315"/>
      <c r="S18" s="25" t="s">
        <v>18</v>
      </c>
      <c r="T18" s="20"/>
      <c r="U18" s="20"/>
      <c r="V18" s="365"/>
      <c r="W18" s="343"/>
      <c r="X18" s="85" t="s">
        <v>55</v>
      </c>
      <c r="Y18" s="86" t="str">
        <f>IF(G24="","",AF8)</f>
        <v/>
      </c>
      <c r="Z18" s="320"/>
      <c r="AA18" s="85" t="s">
        <v>46</v>
      </c>
      <c r="AB18" s="86" t="str">
        <f>IF(G24="","",Y18/2)</f>
        <v/>
      </c>
      <c r="AC18" s="305"/>
      <c r="AD18" s="85" t="s">
        <v>46</v>
      </c>
      <c r="AE18" s="87" t="str">
        <f>IF(G24="","",AF16+AB18)</f>
        <v/>
      </c>
      <c r="AF18" s="88" t="str">
        <f>AE18</f>
        <v/>
      </c>
      <c r="AH18" s="29"/>
      <c r="AI18" s="139" t="s">
        <v>90</v>
      </c>
      <c r="AJ18" s="140"/>
      <c r="AK18" s="141" t="s">
        <v>77</v>
      </c>
      <c r="AL18" s="142" t="str">
        <f>IF(G24="","",AL17*AS18)</f>
        <v/>
      </c>
      <c r="AM18" s="143" t="str">
        <f>IF(G24="","",AL18)</f>
        <v/>
      </c>
      <c r="AN18" s="144" t="str">
        <f>IF(G24="","",AL18)</f>
        <v/>
      </c>
      <c r="AP18" s="301"/>
      <c r="AQ18" s="106" t="s">
        <v>75</v>
      </c>
      <c r="AR18" s="106" t="s">
        <v>78</v>
      </c>
      <c r="AS18" s="280">
        <f>2500/1000</f>
        <v>2.5</v>
      </c>
      <c r="AT18" s="281"/>
      <c r="AV18" s="389"/>
      <c r="AW18" s="383"/>
      <c r="AX18" s="157" t="s">
        <v>108</v>
      </c>
      <c r="AY18" s="371" t="str">
        <f>IF(AY17&gt;0.5,100/(100/AY17*0.5*0.6),"2")</f>
        <v>2</v>
      </c>
      <c r="AZ18" s="372"/>
      <c r="BF18" s="43"/>
    </row>
    <row r="19" spans="1:70" ht="24.95" customHeight="1" thickTop="1" x14ac:dyDescent="0.25">
      <c r="A19" s="311"/>
      <c r="B19" s="312"/>
      <c r="C19" s="312"/>
      <c r="D19" s="189" t="s">
        <v>17</v>
      </c>
      <c r="E19" s="313" t="s">
        <v>19</v>
      </c>
      <c r="F19" s="313"/>
      <c r="G19" s="314">
        <f>G18</f>
        <v>700</v>
      </c>
      <c r="H19" s="314"/>
      <c r="I19" s="25" t="s">
        <v>8</v>
      </c>
      <c r="J19" s="178" t="s">
        <v>124</v>
      </c>
      <c r="K19" s="244"/>
      <c r="L19" s="244"/>
      <c r="M19" s="247"/>
      <c r="N19" s="189" t="s">
        <v>17</v>
      </c>
      <c r="O19" s="306" t="str">
        <f>IF(G19="","",G19&amp;" mm")</f>
        <v>700 mm</v>
      </c>
      <c r="P19" s="306"/>
      <c r="Q19" s="315">
        <f>ROUNDUP(BF28,1)</f>
        <v>1.9000000000000001</v>
      </c>
      <c r="R19" s="315"/>
      <c r="S19" s="25" t="s">
        <v>18</v>
      </c>
      <c r="T19" s="20"/>
      <c r="U19" s="20"/>
      <c r="V19" s="291" t="s">
        <v>38</v>
      </c>
      <c r="W19" s="341" t="s">
        <v>56</v>
      </c>
      <c r="X19" s="89" t="s">
        <v>57</v>
      </c>
      <c r="Y19" s="90"/>
      <c r="Z19" s="328" t="s">
        <v>58</v>
      </c>
      <c r="AA19" s="89" t="s">
        <v>59</v>
      </c>
      <c r="AB19" s="90"/>
      <c r="AC19" s="303" t="s">
        <v>60</v>
      </c>
      <c r="AD19" s="89" t="s">
        <v>59</v>
      </c>
      <c r="AE19" s="91"/>
      <c r="AF19" s="92" t="str">
        <f>IF(G25="","",I25)</f>
        <v/>
      </c>
      <c r="AH19" s="29"/>
      <c r="AI19" s="134" t="s">
        <v>91</v>
      </c>
      <c r="AJ19" s="135"/>
      <c r="AK19" s="107" t="s">
        <v>61</v>
      </c>
      <c r="AL19" s="149" t="str">
        <f>IF(OR(G24="",G25=""),"",G25/1000)</f>
        <v/>
      </c>
      <c r="AM19" s="136"/>
      <c r="AN19" s="137"/>
      <c r="AP19" s="271" t="s">
        <v>29</v>
      </c>
      <c r="AQ19" s="107" t="s">
        <v>74</v>
      </c>
      <c r="AR19" s="107" t="s">
        <v>69</v>
      </c>
      <c r="AS19" s="282">
        <f>PI()*AS15^2</f>
        <v>1.3273228961416876</v>
      </c>
      <c r="AT19" s="283"/>
      <c r="AV19" s="389"/>
      <c r="AW19" s="383"/>
      <c r="AX19" s="157" t="s">
        <v>76</v>
      </c>
      <c r="AY19" s="373">
        <f>(PI()*((G25/2/1000)^2))*(AS12*0.4)/AY18</f>
        <v>0</v>
      </c>
      <c r="AZ19" s="374"/>
      <c r="BF19" s="43"/>
    </row>
    <row r="20" spans="1:70" ht="12" customHeight="1" thickBot="1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0"/>
      <c r="U20" s="20"/>
      <c r="V20" s="292"/>
      <c r="W20" s="342"/>
      <c r="X20" s="33" t="s">
        <v>53</v>
      </c>
      <c r="Y20" s="34" t="str">
        <f>IF(OR(G24="",G25=""),"",AE9)</f>
        <v/>
      </c>
      <c r="Z20" s="319"/>
      <c r="AA20" s="33" t="s">
        <v>45</v>
      </c>
      <c r="AB20" s="35" t="str">
        <f>IF(OR(G24="",G25=""),"",Y20/2)</f>
        <v/>
      </c>
      <c r="AC20" s="304"/>
      <c r="AD20" s="33" t="s">
        <v>45</v>
      </c>
      <c r="AE20" s="37" t="str">
        <f>IF(OR(G24="",G25=""),"",AE18+AB20)</f>
        <v/>
      </c>
      <c r="AF20" s="84" t="str">
        <f>IF(OR(G24="",G25=""),"",AF19-AB20)</f>
        <v/>
      </c>
      <c r="AH20" s="29"/>
      <c r="AI20" s="114" t="s">
        <v>22</v>
      </c>
      <c r="AJ20" s="115"/>
      <c r="AK20" s="97" t="s">
        <v>76</v>
      </c>
      <c r="AL20" s="101" t="str">
        <f>IF(OR(G24="",G25=""),"",((PI()*AL19^2)/4)*0.25)</f>
        <v/>
      </c>
      <c r="AM20" s="98"/>
      <c r="AN20" s="138"/>
      <c r="AP20" s="272"/>
      <c r="AQ20" s="97" t="s">
        <v>24</v>
      </c>
      <c r="AR20" s="97" t="s">
        <v>61</v>
      </c>
      <c r="AS20" s="278">
        <f>Q17/1000+0.003</f>
        <v>0.153</v>
      </c>
      <c r="AT20" s="279"/>
      <c r="AV20" s="389"/>
      <c r="AW20" s="383" t="s">
        <v>104</v>
      </c>
      <c r="AX20" s="157" t="s">
        <v>107</v>
      </c>
      <c r="AY20" s="371">
        <f>G26/1000</f>
        <v>0</v>
      </c>
      <c r="AZ20" s="372"/>
      <c r="BF20" s="43"/>
    </row>
    <row r="21" spans="1:70" ht="24.95" customHeight="1" thickTop="1" thickBot="1" x14ac:dyDescent="0.3">
      <c r="A21" s="327" t="s">
        <v>20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20"/>
      <c r="U21" s="20"/>
      <c r="V21" s="293"/>
      <c r="W21" s="343"/>
      <c r="X21" s="85" t="s">
        <v>55</v>
      </c>
      <c r="Y21" s="86" t="str">
        <f>IF(OR(G24="",G25=""),"",AF9)</f>
        <v/>
      </c>
      <c r="Z21" s="320"/>
      <c r="AA21" s="85" t="s">
        <v>46</v>
      </c>
      <c r="AB21" s="86" t="str">
        <f>IF(OR(G24="",G25=""),"",Y21/2)</f>
        <v/>
      </c>
      <c r="AC21" s="305"/>
      <c r="AD21" s="85" t="s">
        <v>46</v>
      </c>
      <c r="AE21" s="87" t="str">
        <f>IF(OR(G24="",G25=""),"",AE17-AB21)</f>
        <v/>
      </c>
      <c r="AF21" s="88" t="str">
        <f>IF(OR(G24="",G25=""),"",AF19+AB21)</f>
        <v/>
      </c>
      <c r="AH21" s="29"/>
      <c r="AI21" s="139" t="s">
        <v>88</v>
      </c>
      <c r="AJ21" s="140"/>
      <c r="AK21" s="141" t="s">
        <v>77</v>
      </c>
      <c r="AL21" s="142" t="str">
        <f>IF(OR(G24="",G25=""),"",AL20*AS18)</f>
        <v/>
      </c>
      <c r="AM21" s="143" t="str">
        <f>IF(OR(G24="",G25=""),"",AL21)</f>
        <v/>
      </c>
      <c r="AN21" s="144" t="str">
        <f>IF(OR(G24="",G25=""),"",AL21)</f>
        <v/>
      </c>
      <c r="AP21" s="272"/>
      <c r="AQ21" s="96" t="s">
        <v>80</v>
      </c>
      <c r="AR21" s="96" t="s">
        <v>76</v>
      </c>
      <c r="AS21" s="276">
        <f>AS19*AS20</f>
        <v>0.2030804031096782</v>
      </c>
      <c r="AT21" s="277"/>
      <c r="AV21" s="161"/>
      <c r="AW21" s="383"/>
      <c r="AX21" s="157" t="s">
        <v>108</v>
      </c>
      <c r="AY21" s="371" t="str">
        <f>IF(AY20&gt;0.5,100/(100/AY20*0.5*0.6),"2")</f>
        <v>2</v>
      </c>
      <c r="AZ21" s="372"/>
      <c r="BB21" s="165" t="s">
        <v>110</v>
      </c>
      <c r="BC21" s="166"/>
      <c r="BD21" s="166"/>
      <c r="BE21" s="166" t="s">
        <v>21</v>
      </c>
      <c r="BF21" s="167" t="s">
        <v>64</v>
      </c>
    </row>
    <row r="22" spans="1:70" ht="24.95" customHeight="1" thickTop="1" thickBot="1" x14ac:dyDescent="0.3">
      <c r="A22" s="12"/>
      <c r="B22" s="13"/>
      <c r="C22" s="14"/>
      <c r="D22" s="330" t="s">
        <v>23</v>
      </c>
      <c r="E22" s="330"/>
      <c r="F22" s="330"/>
      <c r="G22" s="326" t="s">
        <v>7</v>
      </c>
      <c r="H22" s="326"/>
      <c r="I22" s="358" t="s">
        <v>25</v>
      </c>
      <c r="J22" s="359"/>
      <c r="K22" s="360" t="s">
        <v>26</v>
      </c>
      <c r="L22" s="361"/>
      <c r="M22" s="351" t="s">
        <v>27</v>
      </c>
      <c r="N22" s="352"/>
      <c r="O22" s="352"/>
      <c r="P22" s="352"/>
      <c r="Q22" s="352"/>
      <c r="R22" s="352"/>
      <c r="S22" s="353"/>
      <c r="T22" s="357" t="s">
        <v>28</v>
      </c>
      <c r="U22" s="38"/>
      <c r="V22" s="291" t="s">
        <v>42</v>
      </c>
      <c r="W22" s="341" t="s">
        <v>56</v>
      </c>
      <c r="X22" s="89" t="s">
        <v>57</v>
      </c>
      <c r="Y22" s="90"/>
      <c r="Z22" s="328" t="s">
        <v>58</v>
      </c>
      <c r="AA22" s="89" t="s">
        <v>59</v>
      </c>
      <c r="AB22" s="90"/>
      <c r="AC22" s="303" t="s">
        <v>60</v>
      </c>
      <c r="AD22" s="89" t="s">
        <v>59</v>
      </c>
      <c r="AE22" s="91"/>
      <c r="AF22" s="92" t="str">
        <f>IF(G26="","",I26)</f>
        <v/>
      </c>
      <c r="AI22" s="134" t="s">
        <v>91</v>
      </c>
      <c r="AJ22" s="135"/>
      <c r="AK22" s="107" t="s">
        <v>61</v>
      </c>
      <c r="AL22" s="148" t="str">
        <f>IF(OR(G24="",G25="",G26=""),"",G26/1000)</f>
        <v/>
      </c>
      <c r="AM22" s="136"/>
      <c r="AN22" s="137"/>
      <c r="AP22" s="273"/>
      <c r="AQ22" s="108" t="s">
        <v>36</v>
      </c>
      <c r="AR22" s="108" t="s">
        <v>77</v>
      </c>
      <c r="AS22" s="333">
        <f>AS21*AS18</f>
        <v>0.50770100777419547</v>
      </c>
      <c r="AT22" s="334"/>
      <c r="AV22" s="161"/>
      <c r="AW22" s="383"/>
      <c r="AX22" s="157" t="s">
        <v>76</v>
      </c>
      <c r="AY22" s="373">
        <f>(PI()*((G26/2/1000)^2))*(AS12*0.4)/AY21</f>
        <v>0</v>
      </c>
      <c r="AZ22" s="374"/>
      <c r="BB22" s="168" t="s">
        <v>29</v>
      </c>
      <c r="BC22" s="164"/>
      <c r="BD22" s="164" t="s">
        <v>77</v>
      </c>
      <c r="BE22" s="381">
        <f>AS22</f>
        <v>0.50770100777419547</v>
      </c>
      <c r="BF22" s="382"/>
    </row>
    <row r="23" spans="1:70" ht="24.95" customHeight="1" x14ac:dyDescent="0.25">
      <c r="A23" s="15"/>
      <c r="B23" s="16"/>
      <c r="C23" s="17"/>
      <c r="D23" s="330"/>
      <c r="E23" s="330"/>
      <c r="F23" s="330"/>
      <c r="G23" s="326" t="s">
        <v>8</v>
      </c>
      <c r="H23" s="326"/>
      <c r="I23" s="326" t="s">
        <v>31</v>
      </c>
      <c r="J23" s="326"/>
      <c r="K23" s="358" t="s">
        <v>8</v>
      </c>
      <c r="L23" s="362"/>
      <c r="M23" s="354"/>
      <c r="N23" s="355"/>
      <c r="O23" s="355"/>
      <c r="P23" s="355"/>
      <c r="Q23" s="355"/>
      <c r="R23" s="355"/>
      <c r="S23" s="356"/>
      <c r="T23" s="357"/>
      <c r="U23" s="38"/>
      <c r="V23" s="292"/>
      <c r="W23" s="342"/>
      <c r="X23" s="33" t="s">
        <v>53</v>
      </c>
      <c r="Y23" s="34" t="str">
        <f>IF(OR(G24="",G25="",G26=""),"",AE10)</f>
        <v/>
      </c>
      <c r="Z23" s="319"/>
      <c r="AA23" s="33" t="s">
        <v>45</v>
      </c>
      <c r="AB23" s="35" t="str">
        <f>IF(OR(G24="",G25="",G26=""),"",Y23/2)</f>
        <v/>
      </c>
      <c r="AC23" s="304"/>
      <c r="AD23" s="33" t="s">
        <v>45</v>
      </c>
      <c r="AE23" s="37" t="str">
        <f>IF(OR(G24="",G25="",G26=""),"",AF21+AB23)</f>
        <v/>
      </c>
      <c r="AF23" s="84" t="str">
        <f>IF(OR(G24="",G25="",G26=""),"",AF22-AB23)</f>
        <v/>
      </c>
      <c r="AI23" s="114" t="s">
        <v>22</v>
      </c>
      <c r="AJ23" s="115"/>
      <c r="AK23" s="97" t="s">
        <v>76</v>
      </c>
      <c r="AL23" s="101" t="str">
        <f>IF(OR(G24="",G25="",G26=""),"",((PI()*AL22^2)/4)*0.25)</f>
        <v/>
      </c>
      <c r="AM23" s="98"/>
      <c r="AN23" s="138"/>
      <c r="AP23" s="335" t="s">
        <v>40</v>
      </c>
      <c r="AQ23" s="102" t="s">
        <v>81</v>
      </c>
      <c r="AR23" s="102" t="s">
        <v>69</v>
      </c>
      <c r="AS23" s="337">
        <f>PI()*AS15^2</f>
        <v>1.3273228961416876</v>
      </c>
      <c r="AT23" s="338"/>
      <c r="AV23" s="161"/>
      <c r="AW23" s="383" t="s">
        <v>105</v>
      </c>
      <c r="AX23" s="157" t="s">
        <v>107</v>
      </c>
      <c r="AY23" s="371">
        <f>G27/1000</f>
        <v>0</v>
      </c>
      <c r="AZ23" s="372"/>
      <c r="BB23" s="168" t="s">
        <v>112</v>
      </c>
      <c r="BC23" s="164"/>
      <c r="BD23" s="164" t="s">
        <v>77</v>
      </c>
      <c r="BE23" s="169">
        <f>AS28</f>
        <v>0.74108207202774723</v>
      </c>
      <c r="BF23" s="170">
        <f>AT28</f>
        <v>0.74108207202774723</v>
      </c>
    </row>
    <row r="24" spans="1:70" ht="24.95" customHeight="1" thickBot="1" x14ac:dyDescent="0.3">
      <c r="A24" s="339" t="s">
        <v>35</v>
      </c>
      <c r="B24" s="339"/>
      <c r="C24" s="339"/>
      <c r="D24" s="331"/>
      <c r="E24" s="332"/>
      <c r="F24" s="332"/>
      <c r="G24" s="329"/>
      <c r="H24" s="329"/>
      <c r="I24" s="324">
        <v>0</v>
      </c>
      <c r="J24" s="325"/>
      <c r="K24" s="367"/>
      <c r="L24" s="368"/>
      <c r="M24" s="346" t="s">
        <v>50</v>
      </c>
      <c r="N24" s="347"/>
      <c r="O24" s="347"/>
      <c r="P24" s="347"/>
      <c r="Q24" s="347"/>
      <c r="R24" s="347"/>
      <c r="S24" s="348"/>
      <c r="T24" s="30">
        <f>G24+K24</f>
        <v>0</v>
      </c>
      <c r="U24" s="38"/>
      <c r="V24" s="293"/>
      <c r="W24" s="343"/>
      <c r="X24" s="85" t="s">
        <v>55</v>
      </c>
      <c r="Y24" s="86" t="str">
        <f>IF(OR(G25="",G26=""),"",AF10)</f>
        <v/>
      </c>
      <c r="Z24" s="320"/>
      <c r="AA24" s="85" t="s">
        <v>46</v>
      </c>
      <c r="AB24" s="86" t="str">
        <f>IF(OR(G24="",G25="",G26=""),"",Y24/2)</f>
        <v/>
      </c>
      <c r="AC24" s="305"/>
      <c r="AD24" s="85" t="s">
        <v>46</v>
      </c>
      <c r="AE24" s="87" t="str">
        <f>IF(OR(G24="",G25="",G26=""),"",AE17-AB24)</f>
        <v/>
      </c>
      <c r="AF24" s="88" t="str">
        <f>IF(OR(G24="",G25="",G26=""),"",AF22+AB24)</f>
        <v/>
      </c>
      <c r="AI24" s="139" t="s">
        <v>88</v>
      </c>
      <c r="AJ24" s="140"/>
      <c r="AK24" s="141" t="s">
        <v>77</v>
      </c>
      <c r="AL24" s="142" t="str">
        <f>IF(OR(G24="",G25="",G26=""),"",AL23*AS18)</f>
        <v/>
      </c>
      <c r="AM24" s="143" t="str">
        <f>IF(OR(G24="",G25="",G26=""),"",AL24)</f>
        <v/>
      </c>
      <c r="AN24" s="144" t="str">
        <f>IF(OR(G24="",G25="",G26=""),"",AL24)</f>
        <v/>
      </c>
      <c r="AP24" s="272"/>
      <c r="AQ24" s="96" t="s">
        <v>82</v>
      </c>
      <c r="AR24" s="96" t="s">
        <v>69</v>
      </c>
      <c r="AS24" s="278">
        <f>PI()*AS16^2</f>
        <v>0.78539816339744828</v>
      </c>
      <c r="AT24" s="279"/>
      <c r="AV24" s="161"/>
      <c r="AW24" s="383"/>
      <c r="AX24" s="157" t="s">
        <v>108</v>
      </c>
      <c r="AY24" s="371" t="str">
        <f>IF(AY23&gt;0.5,100/(100/AY23*0.5*0.6),"2")</f>
        <v>2</v>
      </c>
      <c r="AZ24" s="372"/>
      <c r="BB24" s="168" t="s">
        <v>98</v>
      </c>
      <c r="BC24" s="164"/>
      <c r="BD24" s="164" t="s">
        <v>77</v>
      </c>
      <c r="BE24" s="381">
        <f>AY28</f>
        <v>0.5</v>
      </c>
      <c r="BF24" s="382"/>
    </row>
    <row r="25" spans="1:70" ht="24.95" customHeight="1" thickTop="1" x14ac:dyDescent="0.25">
      <c r="A25" s="340" t="s">
        <v>38</v>
      </c>
      <c r="B25" s="340"/>
      <c r="C25" s="340"/>
      <c r="D25" s="369"/>
      <c r="E25" s="393"/>
      <c r="F25" s="370"/>
      <c r="G25" s="329"/>
      <c r="H25" s="329"/>
      <c r="I25" s="349"/>
      <c r="J25" s="350"/>
      <c r="K25" s="369"/>
      <c r="L25" s="370"/>
      <c r="M25" s="346" t="str">
        <f>IF(AE20&gt;AE21,"Zulauf 1 technisch nicht ausführbar.",IF(OR(G24="",G25=""),"","Die mögliche Zulaufposition liegt zwischen "&amp;AE20&amp;" und "&amp;AE21&amp;" gon."))</f>
        <v/>
      </c>
      <c r="N25" s="347"/>
      <c r="O25" s="347"/>
      <c r="P25" s="347"/>
      <c r="Q25" s="347"/>
      <c r="R25" s="347"/>
      <c r="S25" s="348"/>
      <c r="T25" s="30">
        <f>G25+K25</f>
        <v>0</v>
      </c>
      <c r="U25" s="38"/>
      <c r="V25" s="291" t="s">
        <v>44</v>
      </c>
      <c r="W25" s="341" t="s">
        <v>56</v>
      </c>
      <c r="X25" s="89" t="s">
        <v>57</v>
      </c>
      <c r="Y25" s="90"/>
      <c r="Z25" s="328" t="s">
        <v>58</v>
      </c>
      <c r="AA25" s="89" t="s">
        <v>59</v>
      </c>
      <c r="AB25" s="90"/>
      <c r="AC25" s="303" t="s">
        <v>60</v>
      </c>
      <c r="AD25" s="89" t="s">
        <v>59</v>
      </c>
      <c r="AE25" s="91"/>
      <c r="AF25" s="92" t="str">
        <f>IF(G27="","",I27)</f>
        <v/>
      </c>
      <c r="AI25" s="119" t="s">
        <v>91</v>
      </c>
      <c r="AJ25" s="120"/>
      <c r="AK25" s="63" t="s">
        <v>61</v>
      </c>
      <c r="AL25" s="121" t="str">
        <f>IF(OR(G25="",G26="",G27=""),"",G27/1000)</f>
        <v/>
      </c>
      <c r="AM25" s="122"/>
      <c r="AN25" s="133"/>
      <c r="AP25" s="272"/>
      <c r="AQ25" s="97" t="s">
        <v>84</v>
      </c>
      <c r="AR25" s="97" t="s">
        <v>69</v>
      </c>
      <c r="AS25" s="278">
        <f>AS23-AS24</f>
        <v>0.54192473274423936</v>
      </c>
      <c r="AT25" s="279"/>
      <c r="AV25" s="161"/>
      <c r="AW25" s="383"/>
      <c r="AX25" s="157" t="s">
        <v>76</v>
      </c>
      <c r="AY25" s="373">
        <f>(PI()*((G27/2/1000)^2))*(AS12*0.4)/AY24</f>
        <v>0</v>
      </c>
      <c r="AZ25" s="374"/>
      <c r="BB25" s="168" t="s">
        <v>111</v>
      </c>
      <c r="BC25" s="164"/>
      <c r="BD25" s="164" t="s">
        <v>77</v>
      </c>
      <c r="BE25" s="164">
        <f>AM28*(-1)</f>
        <v>0</v>
      </c>
      <c r="BF25" s="171">
        <f>AN28*(-1)</f>
        <v>0</v>
      </c>
    </row>
    <row r="26" spans="1:70" ht="24.95" customHeight="1" x14ac:dyDescent="0.25">
      <c r="A26" s="340" t="s">
        <v>42</v>
      </c>
      <c r="B26" s="340"/>
      <c r="C26" s="340"/>
      <c r="D26" s="332"/>
      <c r="E26" s="332"/>
      <c r="F26" s="332"/>
      <c r="G26" s="329"/>
      <c r="H26" s="329"/>
      <c r="I26" s="349"/>
      <c r="J26" s="350"/>
      <c r="K26" s="369"/>
      <c r="L26" s="370"/>
      <c r="M26" s="346" t="str">
        <f>IF(AE23&gt;AE24,"Zulauf 2 technisch nicht ausführbar.",IF(OR(G24="",G25="",G26="",I25=""),"","Die mögliche Zulaufposition liegt zwischen "&amp;AE23&amp;" und "&amp;AE24&amp;" gon."))</f>
        <v/>
      </c>
      <c r="N26" s="347"/>
      <c r="O26" s="347"/>
      <c r="P26" s="347"/>
      <c r="Q26" s="347"/>
      <c r="R26" s="347"/>
      <c r="S26" s="348"/>
      <c r="T26" s="30">
        <f>G26+K26</f>
        <v>0</v>
      </c>
      <c r="U26" s="38"/>
      <c r="V26" s="292"/>
      <c r="W26" s="342"/>
      <c r="X26" s="33" t="s">
        <v>53</v>
      </c>
      <c r="Y26" s="34" t="str">
        <f>IF(OR(G24="",G25="",G26="",G27=""),"",AE11)</f>
        <v/>
      </c>
      <c r="Z26" s="319"/>
      <c r="AA26" s="33" t="s">
        <v>45</v>
      </c>
      <c r="AB26" s="35" t="str">
        <f>IF(OR(G24="",G25="",G26="",G27=""),"",Y26/2)</f>
        <v/>
      </c>
      <c r="AC26" s="304"/>
      <c r="AD26" s="33" t="s">
        <v>45</v>
      </c>
      <c r="AE26" s="37" t="str">
        <f>IF(OR(G24="",G25="",G26="",G27=""),"",AF24+AB26)</f>
        <v/>
      </c>
      <c r="AF26" s="84" t="str">
        <f>IF(OR(G24="",G25="",G26="",G27=""),"",AF25-AB26)</f>
        <v/>
      </c>
      <c r="AI26" s="123" t="s">
        <v>22</v>
      </c>
      <c r="AJ26" s="124"/>
      <c r="AK26" s="62" t="s">
        <v>76</v>
      </c>
      <c r="AL26" s="125" t="str">
        <f>IF(OR(G24="",G25="",G26="",G27=""),"",((PI()*AL25^2)/4)*0.25)</f>
        <v/>
      </c>
      <c r="AM26" s="129"/>
      <c r="AN26" s="130"/>
      <c r="AP26" s="272"/>
      <c r="AQ26" s="97" t="s">
        <v>85</v>
      </c>
      <c r="AR26" s="97"/>
      <c r="AS26" s="100">
        <f>AS17-AS20</f>
        <v>0.54699999999999993</v>
      </c>
      <c r="AT26" s="101">
        <f>AT17-AS20</f>
        <v>0.54699999999999993</v>
      </c>
      <c r="AV26" s="162"/>
      <c r="AW26" s="157" t="s">
        <v>106</v>
      </c>
      <c r="AX26" s="157" t="s">
        <v>76</v>
      </c>
      <c r="AY26" s="379">
        <f>AY16+AY19+AY22+AY25</f>
        <v>0</v>
      </c>
      <c r="AZ26" s="380"/>
      <c r="BB26" s="181" t="s">
        <v>67</v>
      </c>
      <c r="BC26" s="182"/>
      <c r="BD26" s="183" t="s">
        <v>77</v>
      </c>
      <c r="BE26" s="184">
        <f>BE22+BE23+BE24+BE25</f>
        <v>1.7487830798019428</v>
      </c>
      <c r="BF26" s="185">
        <f>BE22+BF23+BE24+BF25</f>
        <v>1.7487830798019428</v>
      </c>
    </row>
    <row r="27" spans="1:70" ht="24.95" customHeight="1" thickBot="1" x14ac:dyDescent="0.3">
      <c r="A27" s="340" t="s">
        <v>44</v>
      </c>
      <c r="B27" s="340"/>
      <c r="C27" s="340"/>
      <c r="D27" s="332"/>
      <c r="E27" s="332"/>
      <c r="F27" s="332"/>
      <c r="G27" s="329"/>
      <c r="H27" s="329"/>
      <c r="I27" s="349"/>
      <c r="J27" s="350"/>
      <c r="K27" s="369"/>
      <c r="L27" s="370"/>
      <c r="M27" s="346" t="str">
        <f>IF(AE26&gt;AE27,"Zulauf 3 technisch nicht ausführbar.",IF(OR(G24="",G25="",G26="",G27="",I25="",I26=""),"","Die mögliche Zulaufposition liegt zwischen "&amp;AE26&amp;" und "&amp;AE27&amp;" gon."))</f>
        <v/>
      </c>
      <c r="N27" s="347"/>
      <c r="O27" s="347"/>
      <c r="P27" s="347"/>
      <c r="Q27" s="347"/>
      <c r="R27" s="347"/>
      <c r="S27" s="348"/>
      <c r="T27" s="30">
        <f>G27+K27</f>
        <v>0</v>
      </c>
      <c r="U27" s="38"/>
      <c r="V27" s="293"/>
      <c r="W27" s="343"/>
      <c r="X27" s="85" t="s">
        <v>55</v>
      </c>
      <c r="Y27" s="86" t="str">
        <f>IF(G27="","",AF11)</f>
        <v/>
      </c>
      <c r="Z27" s="320"/>
      <c r="AA27" s="85" t="s">
        <v>46</v>
      </c>
      <c r="AB27" s="86" t="str">
        <f>IF(OR(G24="",G25="",G26="",G27=""),"",Y27/2)</f>
        <v/>
      </c>
      <c r="AC27" s="305"/>
      <c r="AD27" s="85" t="s">
        <v>46</v>
      </c>
      <c r="AE27" s="87" t="str">
        <f>IF(OR(G24="",G25="",G26="",G27=""),"",AE17-AB27)</f>
        <v/>
      </c>
      <c r="AF27" s="88" t="str">
        <f>IF(OR(G24="",G25="",G26="",G27=""),"",AF25+AB27)</f>
        <v/>
      </c>
      <c r="AI27" s="126" t="s">
        <v>88</v>
      </c>
      <c r="AJ27" s="127"/>
      <c r="AK27" s="71" t="s">
        <v>77</v>
      </c>
      <c r="AL27" s="128" t="str">
        <f>IF(OR(G24="",G25="",G26="",G27=""),"",AL26*AS18)</f>
        <v/>
      </c>
      <c r="AM27" s="131" t="str">
        <f>IF(OR(G24="",G25="",G26="",G27=""),"",AL27)</f>
        <v/>
      </c>
      <c r="AN27" s="132" t="str">
        <f>IF(OR(G24="",G25="",G26="",G27=""),"",AL27)</f>
        <v/>
      </c>
      <c r="AP27" s="272"/>
      <c r="AQ27" s="96" t="s">
        <v>79</v>
      </c>
      <c r="AR27" s="96" t="s">
        <v>76</v>
      </c>
      <c r="AS27" s="100">
        <f>AS26*AS25</f>
        <v>0.29643282881109889</v>
      </c>
      <c r="AT27" s="101">
        <f>AT26*AS25</f>
        <v>0.29643282881109889</v>
      </c>
      <c r="AV27" s="161"/>
      <c r="AW27" s="157" t="s">
        <v>106</v>
      </c>
      <c r="AX27" s="157" t="s">
        <v>77</v>
      </c>
      <c r="AY27" s="379">
        <f>AY26*AS18</f>
        <v>0</v>
      </c>
      <c r="AZ27" s="380"/>
      <c r="BB27" s="186" t="s">
        <v>119</v>
      </c>
      <c r="BC27" s="179"/>
      <c r="BD27" s="179"/>
      <c r="BE27" s="384">
        <v>0.15</v>
      </c>
      <c r="BF27" s="385"/>
    </row>
    <row r="28" spans="1:70" ht="12" customHeight="1" thickTop="1" thickBo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2"/>
      <c r="N28" s="22"/>
      <c r="O28" s="20"/>
      <c r="P28" s="22"/>
      <c r="Q28" s="22"/>
      <c r="R28" s="20"/>
      <c r="S28" s="20"/>
      <c r="T28" s="20"/>
      <c r="U28" s="20"/>
      <c r="AI28" s="266" t="s">
        <v>95</v>
      </c>
      <c r="AJ28" s="267"/>
      <c r="AK28" s="267"/>
      <c r="AL28" s="267"/>
      <c r="AM28" s="145">
        <f>SUM(AM18:AM27)</f>
        <v>0</v>
      </c>
      <c r="AN28" s="146">
        <f>SUM(AN18:AN27)</f>
        <v>0</v>
      </c>
      <c r="AP28" s="336"/>
      <c r="AQ28" s="103" t="s">
        <v>86</v>
      </c>
      <c r="AR28" s="103" t="s">
        <v>77</v>
      </c>
      <c r="AS28" s="104">
        <f>AS27*AS18</f>
        <v>0.74108207202774723</v>
      </c>
      <c r="AT28" s="105">
        <f>AT27*AS18</f>
        <v>0.74108207202774723</v>
      </c>
      <c r="AV28" s="163"/>
      <c r="AW28" s="158" t="s">
        <v>98</v>
      </c>
      <c r="AX28" s="158" t="s">
        <v>77</v>
      </c>
      <c r="AY28" s="386">
        <f>IF(AY13-AY27&lt;0.5,0.5,AY13-AY27)</f>
        <v>0.5</v>
      </c>
      <c r="AZ28" s="387"/>
      <c r="BB28" s="172" t="s">
        <v>120</v>
      </c>
      <c r="BC28" s="173"/>
      <c r="BD28" s="173" t="s">
        <v>77</v>
      </c>
      <c r="BE28" s="174">
        <f>BE26+BE27</f>
        <v>1.8987830798019427</v>
      </c>
      <c r="BF28" s="175">
        <f>BF26+BE27</f>
        <v>1.8987830798019427</v>
      </c>
    </row>
    <row r="29" spans="1:70" s="178" customFormat="1" ht="24.95" customHeight="1" thickTop="1" x14ac:dyDescent="0.25">
      <c r="A29" s="327" t="s">
        <v>123</v>
      </c>
      <c r="B29" s="327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V29" s="1"/>
      <c r="W29" s="1"/>
      <c r="X29" s="2"/>
      <c r="Y29" s="2"/>
      <c r="Z29" s="2"/>
      <c r="AA29" s="2"/>
      <c r="AB29" s="1"/>
      <c r="AC29" s="1"/>
      <c r="AD29" s="1"/>
      <c r="AE29" s="1"/>
      <c r="AF29" s="3"/>
      <c r="AG29" s="4"/>
      <c r="AH29" s="4"/>
      <c r="AI29" s="4"/>
      <c r="AJ29" s="1"/>
      <c r="AK29" s="2"/>
      <c r="AL29" s="2"/>
      <c r="AM29" s="1"/>
      <c r="AN29" s="94"/>
      <c r="AO29" s="147"/>
      <c r="AP29" s="94"/>
      <c r="AQ29" s="94"/>
      <c r="AR29" s="95"/>
      <c r="AS29" s="94"/>
      <c r="AT29" s="94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43"/>
    </row>
    <row r="30" spans="1:70" s="202" customFormat="1" ht="30" customHeight="1" x14ac:dyDescent="0.25">
      <c r="A30" s="12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"/>
      <c r="N30" s="22"/>
      <c r="O30" s="219"/>
      <c r="P30" s="22"/>
      <c r="Q30" s="22"/>
      <c r="R30" s="219"/>
      <c r="S30" s="14"/>
      <c r="X30" s="2"/>
      <c r="Y30" s="2"/>
      <c r="Z30" s="2"/>
      <c r="AA30" s="2"/>
      <c r="AF30" s="3"/>
      <c r="AG30" s="4"/>
      <c r="AH30" s="4"/>
      <c r="AI30" s="4"/>
      <c r="AK30" s="2"/>
      <c r="AL30" s="2"/>
      <c r="AN30" s="94"/>
      <c r="AO30" s="147"/>
      <c r="AP30" s="94"/>
      <c r="AQ30" s="94"/>
      <c r="AR30" s="95"/>
      <c r="AS30" s="94"/>
      <c r="AT30" s="94"/>
      <c r="BF30" s="43"/>
    </row>
    <row r="31" spans="1:70" s="178" customFormat="1" ht="30" customHeight="1" x14ac:dyDescent="0.25">
      <c r="A31" s="187"/>
      <c r="B31" s="212"/>
      <c r="C31" s="212"/>
      <c r="D31" s="212"/>
      <c r="E31" s="18"/>
      <c r="F31" s="212"/>
      <c r="G31" s="212"/>
      <c r="H31" s="212"/>
      <c r="I31" s="212"/>
      <c r="J31" s="23"/>
      <c r="K31" s="23"/>
      <c r="L31" s="212"/>
      <c r="M31" s="212"/>
      <c r="N31" s="212"/>
      <c r="O31" s="212"/>
      <c r="P31" s="212"/>
      <c r="Q31" s="212"/>
      <c r="R31" s="212"/>
      <c r="S31" s="188"/>
      <c r="AA31" s="2"/>
      <c r="AB31" s="1"/>
      <c r="AC31" s="1"/>
      <c r="AD31" s="1"/>
      <c r="AE31" s="1"/>
      <c r="AF31" s="3"/>
      <c r="AG31" s="4"/>
      <c r="AH31" s="4"/>
      <c r="AI31" s="4"/>
      <c r="AJ31" s="1"/>
      <c r="AK31" s="2"/>
      <c r="AL31" s="2"/>
      <c r="AS31" s="1"/>
      <c r="AT31" s="94"/>
      <c r="AU31" s="1"/>
      <c r="AV31" s="1"/>
      <c r="AW31" s="1"/>
      <c r="AX31" s="1"/>
      <c r="AY31" s="1"/>
      <c r="AZ31" s="1"/>
    </row>
    <row r="32" spans="1:70" s="200" customFormat="1" ht="30" customHeight="1" x14ac:dyDescent="0.25">
      <c r="A32" s="187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188"/>
      <c r="AA32" s="2"/>
      <c r="AF32" s="3"/>
      <c r="AG32" s="4"/>
      <c r="AH32" s="4"/>
      <c r="AI32" s="4"/>
      <c r="AK32" s="2"/>
      <c r="AL32" s="2"/>
      <c r="AT32" s="94"/>
    </row>
    <row r="33" spans="1:58" ht="30" customHeight="1" x14ac:dyDescent="0.25">
      <c r="A33" s="187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188"/>
    </row>
    <row r="34" spans="1:58" ht="30" customHeight="1" x14ac:dyDescent="0.25">
      <c r="A34" s="187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188"/>
    </row>
    <row r="35" spans="1:58" ht="30" customHeight="1" x14ac:dyDescent="0.25">
      <c r="A35" s="187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188"/>
    </row>
    <row r="36" spans="1:58" s="200" customFormat="1" ht="30" customHeight="1" x14ac:dyDescent="0.25">
      <c r="A36" s="187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188"/>
      <c r="X36" s="2"/>
      <c r="Y36" s="2"/>
      <c r="Z36" s="2"/>
      <c r="AA36" s="2"/>
      <c r="AF36" s="3"/>
      <c r="AG36" s="4"/>
      <c r="AH36" s="4"/>
      <c r="AI36" s="4"/>
      <c r="AK36" s="2"/>
      <c r="AL36" s="2"/>
      <c r="AO36" s="5"/>
    </row>
    <row r="37" spans="1:58" ht="24" customHeight="1" x14ac:dyDescent="0.2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7"/>
      <c r="T37" s="20"/>
      <c r="BF37" s="11"/>
    </row>
    <row r="38" spans="1:58" s="178" customFormat="1" ht="24" customHeight="1" x14ac:dyDescent="0.25">
      <c r="A38" s="327" t="s">
        <v>122</v>
      </c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V38" s="1"/>
      <c r="W38" s="1"/>
      <c r="X38" s="2"/>
      <c r="Y38" s="2"/>
      <c r="Z38" s="2"/>
      <c r="AA38" s="2"/>
      <c r="AF38" s="3"/>
      <c r="AG38" s="4"/>
      <c r="AH38" s="4"/>
      <c r="AI38" s="4"/>
      <c r="AK38" s="2"/>
      <c r="AL38" s="2"/>
      <c r="BF38" s="11"/>
    </row>
    <row r="39" spans="1:58" s="178" customFormat="1" ht="36" customHeight="1" x14ac:dyDescent="0.25">
      <c r="A39" s="390" t="s">
        <v>121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2"/>
      <c r="BF39" s="43"/>
    </row>
    <row r="40" spans="1:58" ht="24" customHeight="1" x14ac:dyDescent="0.25">
      <c r="A40" s="252" t="s">
        <v>49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4"/>
      <c r="T40" s="20"/>
      <c r="X40" s="1"/>
      <c r="Y40" s="1"/>
      <c r="Z40" s="1"/>
      <c r="AA40" s="1"/>
      <c r="AF40" s="1"/>
      <c r="AG40" s="1"/>
      <c r="AH40" s="1"/>
      <c r="AI40" s="1"/>
      <c r="AK40" s="1"/>
      <c r="AL40" s="1"/>
      <c r="BF40" s="11"/>
    </row>
    <row r="41" spans="1:58" ht="24" customHeight="1" x14ac:dyDescent="0.25">
      <c r="A41" s="252" t="s">
        <v>152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4"/>
      <c r="T41" s="20"/>
      <c r="X41" s="1"/>
      <c r="Y41" s="1"/>
      <c r="Z41" s="1"/>
      <c r="AA41" s="1"/>
      <c r="AF41" s="1"/>
      <c r="AG41" s="1"/>
      <c r="AH41" s="1"/>
      <c r="AI41" s="1"/>
      <c r="AK41" s="1"/>
      <c r="AL41" s="1"/>
      <c r="BF41" s="11"/>
    </row>
    <row r="42" spans="1:58" ht="24" customHeight="1" x14ac:dyDescent="0.25">
      <c r="A42" s="255" t="s">
        <v>159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7" t="s">
        <v>47</v>
      </c>
      <c r="O42" s="258"/>
      <c r="P42" s="258"/>
      <c r="Q42" s="258"/>
      <c r="R42" s="258"/>
      <c r="S42" s="259"/>
      <c r="T42" s="20"/>
      <c r="X42" s="1"/>
      <c r="Y42" s="1"/>
      <c r="Z42" s="1"/>
      <c r="AA42" s="1"/>
      <c r="AF42" s="1"/>
      <c r="AG42" s="1"/>
      <c r="AH42" s="1"/>
      <c r="AI42" s="1"/>
      <c r="AK42" s="1"/>
      <c r="AL42" s="1"/>
      <c r="BF42" s="11"/>
    </row>
    <row r="43" spans="1:58" ht="24" customHeight="1" x14ac:dyDescent="0.2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0"/>
      <c r="X43" s="1"/>
      <c r="Y43" s="1"/>
      <c r="Z43" s="1"/>
      <c r="AA43" s="1"/>
      <c r="AF43" s="1"/>
      <c r="AG43" s="1"/>
      <c r="AH43" s="1"/>
      <c r="AI43" s="1"/>
      <c r="AK43" s="1"/>
      <c r="AL43" s="1"/>
      <c r="BF43" s="11"/>
    </row>
    <row r="44" spans="1:58" ht="24" customHeight="1" x14ac:dyDescent="0.2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0"/>
      <c r="X44" s="1"/>
      <c r="Y44" s="1"/>
      <c r="Z44" s="1"/>
      <c r="AA44" s="1"/>
      <c r="AF44" s="1"/>
      <c r="AG44" s="1"/>
      <c r="AH44" s="1"/>
      <c r="AI44" s="1"/>
      <c r="AK44" s="1"/>
      <c r="AL44" s="1"/>
      <c r="BF44" s="11"/>
    </row>
    <row r="45" spans="1:58" ht="24" customHeight="1" x14ac:dyDescent="0.25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0"/>
      <c r="X45" s="1"/>
      <c r="Y45" s="1"/>
      <c r="Z45" s="1"/>
      <c r="AA45" s="1"/>
      <c r="AF45" s="1"/>
      <c r="AG45" s="1"/>
      <c r="AH45" s="1"/>
      <c r="AI45" s="1"/>
      <c r="AK45" s="1"/>
      <c r="AL45" s="1"/>
      <c r="BF45" s="11"/>
    </row>
    <row r="46" spans="1:58" ht="24" customHeight="1" x14ac:dyDescent="0.25">
      <c r="A46" s="234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0"/>
      <c r="X46" s="1"/>
      <c r="Y46" s="1"/>
      <c r="Z46" s="1"/>
      <c r="AA46" s="1"/>
      <c r="AF46" s="1"/>
      <c r="AG46" s="1"/>
      <c r="AH46" s="1"/>
      <c r="AI46" s="1"/>
      <c r="AK46" s="1"/>
      <c r="AL46" s="1"/>
      <c r="AO46" s="1"/>
      <c r="BF46" s="11"/>
    </row>
    <row r="47" spans="1:58" ht="12" customHeight="1" x14ac:dyDescent="0.25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AL47" s="1"/>
      <c r="AO47" s="1"/>
    </row>
    <row r="48" spans="1:58" ht="24" customHeight="1" x14ac:dyDescent="0.25">
      <c r="A48" s="202"/>
      <c r="B48" s="235" t="s">
        <v>155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02"/>
      <c r="AL48" s="1"/>
      <c r="AO48" s="1"/>
      <c r="BF48" s="43"/>
    </row>
    <row r="49" spans="1:58" ht="12" customHeight="1" x14ac:dyDescent="0.25">
      <c r="AL49" s="1"/>
      <c r="AO49" s="1"/>
      <c r="BF49" s="43"/>
    </row>
    <row r="50" spans="1:58" ht="24" customHeight="1" x14ac:dyDescent="0.25">
      <c r="A50" s="236" t="s">
        <v>0</v>
      </c>
      <c r="B50" s="236"/>
      <c r="C50" s="236"/>
      <c r="D50" s="237" t="str">
        <f>D8</f>
        <v>Baustelle Musterstraße Los 8a</v>
      </c>
      <c r="E50" s="237"/>
      <c r="F50" s="237"/>
      <c r="G50" s="237"/>
      <c r="H50" s="237"/>
      <c r="I50" s="237"/>
      <c r="J50" s="7"/>
      <c r="K50" s="236" t="s">
        <v>52</v>
      </c>
      <c r="L50" s="236"/>
      <c r="M50" s="236"/>
      <c r="N50" s="237">
        <f>N8</f>
        <v>123456</v>
      </c>
      <c r="O50" s="237"/>
      <c r="P50" s="237"/>
      <c r="Q50" s="237"/>
      <c r="R50" s="237"/>
      <c r="S50" s="237"/>
      <c r="AL50" s="1"/>
      <c r="AO50" s="1"/>
      <c r="BF50" s="43"/>
    </row>
    <row r="51" spans="1:58" ht="12" customHeight="1" thickBot="1" x14ac:dyDescent="0.3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AL51" s="1"/>
      <c r="AO51" s="1"/>
      <c r="BF51" s="176"/>
    </row>
    <row r="52" spans="1:58" ht="12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AL52" s="1"/>
      <c r="AO52" s="1"/>
      <c r="BF52" s="176"/>
    </row>
    <row r="53" spans="1:58" ht="24" customHeight="1" x14ac:dyDescent="0.25">
      <c r="A53" s="238" t="s">
        <v>188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AL53" s="1"/>
      <c r="AO53" s="1"/>
      <c r="BF53" s="176"/>
    </row>
    <row r="54" spans="1:58" ht="36" customHeight="1" x14ac:dyDescent="0.25">
      <c r="A54" s="244" t="s">
        <v>154</v>
      </c>
      <c r="B54" s="244"/>
      <c r="C54" s="244"/>
      <c r="D54" s="244"/>
      <c r="E54" s="244"/>
      <c r="F54" s="244"/>
      <c r="G54" s="244"/>
      <c r="H54" s="243" t="s">
        <v>193</v>
      </c>
      <c r="I54" s="243"/>
      <c r="J54" s="243"/>
      <c r="K54" s="243"/>
      <c r="L54" s="242" t="s">
        <v>196</v>
      </c>
      <c r="M54" s="242"/>
      <c r="N54" s="242"/>
      <c r="O54" s="242"/>
      <c r="P54" s="242"/>
      <c r="Q54" s="242"/>
      <c r="R54" s="242"/>
      <c r="S54" s="242"/>
      <c r="AL54" s="1"/>
      <c r="AO54" s="1"/>
      <c r="BF54" s="177"/>
    </row>
    <row r="55" spans="1:58" s="212" customFormat="1" ht="36" customHeight="1" x14ac:dyDescent="0.25">
      <c r="A55" s="247" t="s">
        <v>164</v>
      </c>
      <c r="B55" s="248"/>
      <c r="C55" s="248"/>
      <c r="D55" s="248"/>
      <c r="E55" s="248"/>
      <c r="F55" s="248"/>
      <c r="G55" s="246"/>
      <c r="H55" s="394" t="s">
        <v>178</v>
      </c>
      <c r="I55" s="314"/>
      <c r="J55" s="314"/>
      <c r="K55" s="395"/>
      <c r="L55" s="249" t="s">
        <v>179</v>
      </c>
      <c r="M55" s="250"/>
      <c r="N55" s="250"/>
      <c r="O55" s="250"/>
      <c r="P55" s="250"/>
      <c r="Q55" s="250"/>
      <c r="R55" s="250"/>
      <c r="S55" s="251"/>
      <c r="X55" s="2"/>
      <c r="Y55" s="2"/>
      <c r="Z55" s="2"/>
      <c r="AA55" s="2"/>
      <c r="AF55" s="3"/>
      <c r="AG55" s="4"/>
      <c r="AH55" s="4"/>
      <c r="AI55" s="4"/>
      <c r="AK55" s="2"/>
      <c r="BF55" s="177"/>
    </row>
    <row r="56" spans="1:58" s="202" customFormat="1" ht="36" customHeight="1" x14ac:dyDescent="0.25">
      <c r="A56" s="244" t="s">
        <v>166</v>
      </c>
      <c r="B56" s="244"/>
      <c r="C56" s="247"/>
      <c r="D56" s="246" t="s">
        <v>163</v>
      </c>
      <c r="E56" s="244"/>
      <c r="F56" s="244"/>
      <c r="G56" s="244"/>
      <c r="H56" s="243" t="s">
        <v>153</v>
      </c>
      <c r="I56" s="243"/>
      <c r="J56" s="243"/>
      <c r="K56" s="243"/>
      <c r="L56" s="242" t="s">
        <v>165</v>
      </c>
      <c r="M56" s="242"/>
      <c r="N56" s="242"/>
      <c r="O56" s="242"/>
      <c r="P56" s="242"/>
      <c r="Q56" s="242"/>
      <c r="R56" s="242"/>
      <c r="S56" s="242"/>
      <c r="X56" s="2"/>
      <c r="Y56" s="2"/>
      <c r="Z56" s="2"/>
      <c r="AA56" s="2"/>
      <c r="AF56" s="3"/>
      <c r="AG56" s="4"/>
      <c r="AH56" s="4"/>
      <c r="AI56" s="4"/>
      <c r="AK56" s="2"/>
      <c r="BF56" s="177"/>
    </row>
    <row r="57" spans="1:58" s="5" customFormat="1" ht="36" customHeight="1" x14ac:dyDescent="0.25">
      <c r="A57" s="244"/>
      <c r="B57" s="244"/>
      <c r="C57" s="247"/>
      <c r="D57" s="248" t="s">
        <v>167</v>
      </c>
      <c r="E57" s="248"/>
      <c r="F57" s="248"/>
      <c r="G57" s="246"/>
      <c r="H57" s="243" t="s">
        <v>169</v>
      </c>
      <c r="I57" s="243"/>
      <c r="J57" s="243"/>
      <c r="K57" s="243"/>
      <c r="L57" s="242" t="s">
        <v>168</v>
      </c>
      <c r="M57" s="242"/>
      <c r="N57" s="242"/>
      <c r="O57" s="242"/>
      <c r="P57" s="242"/>
      <c r="Q57" s="242"/>
      <c r="R57" s="242"/>
      <c r="S57" s="242"/>
      <c r="X57" s="221"/>
      <c r="Y57" s="221"/>
      <c r="Z57" s="221"/>
      <c r="AA57" s="221"/>
      <c r="AF57" s="222"/>
      <c r="AG57" s="223"/>
      <c r="AH57" s="223"/>
      <c r="AI57" s="223"/>
      <c r="AK57" s="221"/>
      <c r="BF57" s="224"/>
    </row>
    <row r="58" spans="1:58" ht="36" customHeight="1" x14ac:dyDescent="0.25">
      <c r="A58" s="245" t="s">
        <v>140</v>
      </c>
      <c r="B58" s="245"/>
      <c r="C58" s="245"/>
      <c r="D58" s="245"/>
      <c r="E58" s="245"/>
      <c r="F58" s="245"/>
      <c r="G58" s="245"/>
      <c r="H58" s="243" t="s">
        <v>142</v>
      </c>
      <c r="I58" s="243"/>
      <c r="J58" s="243"/>
      <c r="K58" s="243"/>
      <c r="L58" s="242" t="s">
        <v>170</v>
      </c>
      <c r="M58" s="242"/>
      <c r="N58" s="242"/>
      <c r="O58" s="242"/>
      <c r="P58" s="242"/>
      <c r="Q58" s="242"/>
      <c r="R58" s="242"/>
      <c r="S58" s="242"/>
      <c r="AL58" s="1"/>
      <c r="AO58" s="1"/>
      <c r="BF58" s="177"/>
    </row>
    <row r="59" spans="1:58" ht="36" customHeight="1" x14ac:dyDescent="0.25">
      <c r="A59" s="244" t="s">
        <v>144</v>
      </c>
      <c r="B59" s="244"/>
      <c r="C59" s="247"/>
      <c r="D59" s="246" t="s">
        <v>171</v>
      </c>
      <c r="E59" s="244"/>
      <c r="F59" s="244"/>
      <c r="G59" s="244"/>
      <c r="H59" s="243" t="s">
        <v>145</v>
      </c>
      <c r="I59" s="243"/>
      <c r="J59" s="243"/>
      <c r="K59" s="243"/>
      <c r="L59" s="242" t="s">
        <v>173</v>
      </c>
      <c r="M59" s="242"/>
      <c r="N59" s="242"/>
      <c r="O59" s="242"/>
      <c r="P59" s="242"/>
      <c r="Q59" s="242"/>
      <c r="R59" s="242"/>
      <c r="S59" s="242"/>
      <c r="AL59" s="1"/>
      <c r="AO59" s="1"/>
      <c r="BF59" s="177"/>
    </row>
    <row r="60" spans="1:58" ht="36" customHeight="1" x14ac:dyDescent="0.25">
      <c r="A60" s="244"/>
      <c r="B60" s="244"/>
      <c r="C60" s="247"/>
      <c r="D60" s="246" t="s">
        <v>172</v>
      </c>
      <c r="E60" s="244"/>
      <c r="F60" s="244"/>
      <c r="G60" s="244"/>
      <c r="H60" s="243" t="s">
        <v>174</v>
      </c>
      <c r="I60" s="243"/>
      <c r="J60" s="243"/>
      <c r="K60" s="243"/>
      <c r="L60" s="242" t="s">
        <v>197</v>
      </c>
      <c r="M60" s="242"/>
      <c r="N60" s="242"/>
      <c r="O60" s="242"/>
      <c r="P60" s="242"/>
      <c r="Q60" s="242"/>
      <c r="R60" s="242"/>
      <c r="S60" s="242"/>
      <c r="AL60" s="1"/>
      <c r="AO60" s="1"/>
      <c r="BF60" s="177"/>
    </row>
    <row r="61" spans="1:58" ht="36" customHeight="1" x14ac:dyDescent="0.25">
      <c r="A61" s="244"/>
      <c r="B61" s="244"/>
      <c r="C61" s="247"/>
      <c r="D61" s="246" t="s">
        <v>149</v>
      </c>
      <c r="E61" s="244"/>
      <c r="F61" s="244"/>
      <c r="G61" s="244"/>
      <c r="H61" s="243" t="s">
        <v>198</v>
      </c>
      <c r="I61" s="243"/>
      <c r="J61" s="243"/>
      <c r="K61" s="243"/>
      <c r="L61" s="242" t="s">
        <v>199</v>
      </c>
      <c r="M61" s="242"/>
      <c r="N61" s="242"/>
      <c r="O61" s="242"/>
      <c r="P61" s="242"/>
      <c r="Q61" s="242"/>
      <c r="R61" s="242"/>
      <c r="S61" s="242"/>
      <c r="AL61" s="1"/>
      <c r="AO61" s="1"/>
      <c r="BF61" s="177"/>
    </row>
    <row r="62" spans="1:58" s="212" customFormat="1" ht="36" customHeight="1" x14ac:dyDescent="0.25">
      <c r="A62" s="247" t="s">
        <v>191</v>
      </c>
      <c r="B62" s="248"/>
      <c r="C62" s="248"/>
      <c r="D62" s="248"/>
      <c r="E62" s="248"/>
      <c r="F62" s="248"/>
      <c r="G62" s="246"/>
      <c r="H62" s="397" t="s">
        <v>192</v>
      </c>
      <c r="I62" s="397"/>
      <c r="J62" s="397"/>
      <c r="K62" s="397"/>
      <c r="L62" s="242" t="s">
        <v>200</v>
      </c>
      <c r="M62" s="242"/>
      <c r="N62" s="242"/>
      <c r="O62" s="242"/>
      <c r="P62" s="242"/>
      <c r="Q62" s="242"/>
      <c r="R62" s="242"/>
      <c r="S62" s="242"/>
      <c r="X62" s="2"/>
      <c r="Y62" s="2"/>
      <c r="Z62" s="2"/>
      <c r="AA62" s="2"/>
      <c r="AF62" s="3"/>
      <c r="AG62" s="4"/>
      <c r="AH62" s="4"/>
      <c r="AI62" s="4"/>
      <c r="AK62" s="2"/>
      <c r="BF62" s="177"/>
    </row>
    <row r="63" spans="1:58" ht="12" customHeight="1" x14ac:dyDescent="0.25">
      <c r="A63" s="231"/>
      <c r="B63" s="205"/>
      <c r="C63" s="205"/>
      <c r="AL63" s="1"/>
      <c r="AO63" s="1"/>
      <c r="BF63" s="177"/>
    </row>
    <row r="64" spans="1:58" ht="24" customHeight="1" x14ac:dyDescent="0.25">
      <c r="A64" s="238" t="s">
        <v>201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AL64" s="1"/>
      <c r="AO64" s="1"/>
      <c r="BF64" s="177"/>
    </row>
    <row r="65" spans="1:67" ht="36" customHeight="1" x14ac:dyDescent="0.25">
      <c r="A65" s="244" t="s">
        <v>136</v>
      </c>
      <c r="B65" s="244"/>
      <c r="C65" s="244"/>
      <c r="D65" s="244"/>
      <c r="E65" s="244"/>
      <c r="F65" s="247"/>
      <c r="G65" s="396" t="s">
        <v>161</v>
      </c>
      <c r="H65" s="240"/>
      <c r="I65" s="239">
        <v>300</v>
      </c>
      <c r="J65" s="239"/>
      <c r="K65" s="220" t="s">
        <v>137</v>
      </c>
      <c r="L65" s="242" t="s">
        <v>162</v>
      </c>
      <c r="M65" s="242"/>
      <c r="N65" s="242"/>
      <c r="O65" s="242"/>
      <c r="P65" s="242"/>
      <c r="Q65" s="242"/>
      <c r="R65" s="242"/>
      <c r="S65" s="242"/>
      <c r="AL65" s="1"/>
      <c r="AO65" s="1"/>
      <c r="BF65" s="177"/>
    </row>
    <row r="66" spans="1:67" ht="36" customHeight="1" x14ac:dyDescent="0.25">
      <c r="A66" s="244"/>
      <c r="B66" s="244"/>
      <c r="C66" s="244"/>
      <c r="D66" s="244"/>
      <c r="E66" s="244"/>
      <c r="F66" s="247"/>
      <c r="G66" s="396" t="s">
        <v>32</v>
      </c>
      <c r="H66" s="240"/>
      <c r="I66" s="241">
        <f>SUM(I69:J75)</f>
        <v>300</v>
      </c>
      <c r="J66" s="241"/>
      <c r="K66" s="220" t="s">
        <v>137</v>
      </c>
      <c r="L66" s="242" t="s">
        <v>186</v>
      </c>
      <c r="M66" s="242"/>
      <c r="N66" s="242"/>
      <c r="O66" s="242"/>
      <c r="P66" s="242"/>
      <c r="Q66" s="242"/>
      <c r="R66" s="242"/>
      <c r="S66" s="242"/>
      <c r="AL66" s="1"/>
      <c r="AO66" s="1"/>
      <c r="BF66" s="178"/>
    </row>
    <row r="67" spans="1:67" ht="12" customHeight="1" x14ac:dyDescent="0.25">
      <c r="M67" s="196"/>
      <c r="N67" s="196"/>
      <c r="O67" s="196"/>
      <c r="P67" s="196"/>
      <c r="Q67" s="196"/>
      <c r="R67" s="196"/>
      <c r="S67" s="196"/>
      <c r="AL67" s="1"/>
      <c r="AO67" s="1"/>
      <c r="BF67" s="4"/>
    </row>
    <row r="68" spans="1:67" s="212" customFormat="1" ht="24" customHeight="1" x14ac:dyDescent="0.25">
      <c r="A68" s="238" t="s">
        <v>202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X68" s="2"/>
      <c r="Y68" s="2"/>
      <c r="Z68" s="2"/>
      <c r="AA68" s="2"/>
      <c r="AF68" s="3"/>
      <c r="AG68" s="4"/>
      <c r="AH68" s="4"/>
      <c r="AI68" s="4"/>
      <c r="AK68" s="2"/>
      <c r="BF68" s="177"/>
    </row>
    <row r="69" spans="1:67" ht="36" customHeight="1" x14ac:dyDescent="0.25">
      <c r="A69" s="244" t="s">
        <v>163</v>
      </c>
      <c r="B69" s="244"/>
      <c r="C69" s="244"/>
      <c r="D69" s="244"/>
      <c r="E69" s="244"/>
      <c r="F69" s="244"/>
      <c r="G69" s="244"/>
      <c r="H69" s="244"/>
      <c r="I69" s="240">
        <f>(G19-Q17)/10</f>
        <v>55</v>
      </c>
      <c r="J69" s="240"/>
      <c r="K69" s="216" t="s">
        <v>137</v>
      </c>
      <c r="L69" s="242" t="s">
        <v>180</v>
      </c>
      <c r="M69" s="242"/>
      <c r="N69" s="242"/>
      <c r="O69" s="242"/>
      <c r="P69" s="242"/>
      <c r="Q69" s="242"/>
      <c r="R69" s="242"/>
      <c r="S69" s="242"/>
      <c r="AL69" s="1"/>
      <c r="AO69" s="1"/>
      <c r="BF69" s="4"/>
    </row>
    <row r="70" spans="1:67" s="233" customFormat="1" ht="18" customHeight="1" x14ac:dyDescent="0.25">
      <c r="A70" s="408" t="s">
        <v>187</v>
      </c>
      <c r="B70" s="409"/>
      <c r="C70" s="409"/>
      <c r="D70" s="409"/>
      <c r="E70" s="428" t="s">
        <v>207</v>
      </c>
      <c r="F70" s="428"/>
      <c r="G70" s="419">
        <v>1</v>
      </c>
      <c r="H70" s="417" t="s">
        <v>206</v>
      </c>
      <c r="I70" s="418">
        <f>IF(G70="","",G70*50)</f>
        <v>50</v>
      </c>
      <c r="J70" s="418"/>
      <c r="K70" s="216" t="s">
        <v>206</v>
      </c>
      <c r="L70" s="411" t="s">
        <v>181</v>
      </c>
      <c r="M70" s="412"/>
      <c r="N70" s="412"/>
      <c r="O70" s="412"/>
      <c r="P70" s="412"/>
      <c r="Q70" s="412"/>
      <c r="R70" s="412"/>
      <c r="S70" s="413"/>
      <c r="X70" s="232"/>
      <c r="Y70" s="232"/>
      <c r="Z70" s="232"/>
      <c r="AA70" s="232"/>
      <c r="AF70" s="3"/>
      <c r="AG70" s="4"/>
      <c r="AH70" s="4"/>
      <c r="AI70" s="4"/>
      <c r="AK70" s="232"/>
      <c r="BF70" s="4"/>
    </row>
    <row r="71" spans="1:67" ht="18" customHeight="1" x14ac:dyDescent="0.25">
      <c r="A71" s="410"/>
      <c r="B71" s="236"/>
      <c r="C71" s="236"/>
      <c r="D71" s="236"/>
      <c r="E71" s="428" t="s">
        <v>208</v>
      </c>
      <c r="F71" s="428"/>
      <c r="G71" s="419">
        <v>1</v>
      </c>
      <c r="H71" s="417" t="s">
        <v>206</v>
      </c>
      <c r="I71" s="418">
        <f>IF(G71="","",G71*100)</f>
        <v>100</v>
      </c>
      <c r="J71" s="418"/>
      <c r="K71" s="216" t="s">
        <v>137</v>
      </c>
      <c r="L71" s="414"/>
      <c r="M71" s="415"/>
      <c r="N71" s="415"/>
      <c r="O71" s="415"/>
      <c r="P71" s="415"/>
      <c r="Q71" s="415"/>
      <c r="R71" s="415"/>
      <c r="S71" s="416"/>
      <c r="AL71" s="1"/>
      <c r="AO71" s="1"/>
      <c r="BF71" s="4"/>
    </row>
    <row r="72" spans="1:67" s="233" customFormat="1" ht="18" customHeight="1" x14ac:dyDescent="0.25">
      <c r="A72" s="420" t="s">
        <v>176</v>
      </c>
      <c r="B72" s="421"/>
      <c r="C72" s="421"/>
      <c r="D72" s="421"/>
      <c r="E72" s="421"/>
      <c r="F72" s="426" t="s">
        <v>134</v>
      </c>
      <c r="G72" s="424"/>
      <c r="H72" s="424"/>
      <c r="I72" s="243">
        <v>60</v>
      </c>
      <c r="J72" s="243"/>
      <c r="K72" s="216" t="s">
        <v>137</v>
      </c>
      <c r="L72" s="411" t="s">
        <v>177</v>
      </c>
      <c r="M72" s="412"/>
      <c r="N72" s="412"/>
      <c r="O72" s="412"/>
      <c r="P72" s="412"/>
      <c r="Q72" s="412"/>
      <c r="R72" s="412"/>
      <c r="S72" s="413"/>
      <c r="X72" s="232"/>
      <c r="Y72" s="232"/>
      <c r="Z72" s="232"/>
      <c r="AA72" s="232"/>
      <c r="AF72" s="3"/>
      <c r="AG72" s="4"/>
      <c r="AH72" s="4"/>
      <c r="AI72" s="4"/>
      <c r="AK72" s="232"/>
      <c r="BF72" s="4"/>
    </row>
    <row r="73" spans="1:67" ht="18" customHeight="1" x14ac:dyDescent="0.25">
      <c r="A73" s="422"/>
      <c r="B73" s="423"/>
      <c r="C73" s="423"/>
      <c r="D73" s="423"/>
      <c r="E73" s="423"/>
      <c r="F73" s="425" t="s">
        <v>135</v>
      </c>
      <c r="G73" s="427"/>
      <c r="H73" s="427"/>
      <c r="I73" s="243"/>
      <c r="J73" s="243"/>
      <c r="K73" s="216" t="s">
        <v>137</v>
      </c>
      <c r="L73" s="414"/>
      <c r="M73" s="415"/>
      <c r="N73" s="415"/>
      <c r="O73" s="415"/>
      <c r="P73" s="415"/>
      <c r="Q73" s="415"/>
      <c r="R73" s="415"/>
      <c r="S73" s="416"/>
      <c r="T73" s="19"/>
      <c r="U73" s="1"/>
      <c r="W73" s="2"/>
      <c r="AA73" s="1"/>
      <c r="AE73" s="3"/>
      <c r="AF73" s="4"/>
      <c r="AI73" s="1"/>
      <c r="AJ73" s="2"/>
      <c r="AK73" s="1"/>
      <c r="AL73" s="1"/>
      <c r="AO73" s="1"/>
      <c r="BE73" s="4"/>
    </row>
    <row r="74" spans="1:67" ht="36" customHeight="1" x14ac:dyDescent="0.25">
      <c r="A74" s="244" t="s">
        <v>182</v>
      </c>
      <c r="B74" s="244"/>
      <c r="C74" s="244"/>
      <c r="D74" s="244"/>
      <c r="E74" s="244"/>
      <c r="F74" s="244"/>
      <c r="G74" s="244"/>
      <c r="H74" s="244"/>
      <c r="I74" s="243">
        <v>20</v>
      </c>
      <c r="J74" s="243"/>
      <c r="K74" s="216" t="s">
        <v>138</v>
      </c>
      <c r="L74" s="242" t="s">
        <v>183</v>
      </c>
      <c r="M74" s="242"/>
      <c r="N74" s="242"/>
      <c r="O74" s="242"/>
      <c r="P74" s="242"/>
      <c r="Q74" s="242"/>
      <c r="R74" s="242"/>
      <c r="S74" s="242"/>
      <c r="AL74" s="1"/>
      <c r="AO74" s="1"/>
      <c r="BF74" s="4"/>
    </row>
    <row r="75" spans="1:67" ht="36" customHeight="1" x14ac:dyDescent="0.25">
      <c r="A75" s="244" t="s">
        <v>184</v>
      </c>
      <c r="B75" s="244"/>
      <c r="C75" s="244"/>
      <c r="D75" s="244"/>
      <c r="E75" s="244"/>
      <c r="F75" s="244"/>
      <c r="G75" s="244"/>
      <c r="H75" s="244"/>
      <c r="I75" s="243">
        <v>15</v>
      </c>
      <c r="J75" s="243"/>
      <c r="K75" s="216" t="s">
        <v>138</v>
      </c>
      <c r="L75" s="242" t="s">
        <v>185</v>
      </c>
      <c r="M75" s="242"/>
      <c r="N75" s="242"/>
      <c r="O75" s="242"/>
      <c r="P75" s="242"/>
      <c r="Q75" s="242"/>
      <c r="R75" s="242"/>
      <c r="S75" s="242"/>
      <c r="AL75" s="1"/>
      <c r="AO75" s="1"/>
      <c r="BF75" s="4"/>
    </row>
    <row r="76" spans="1:67" ht="12" customHeight="1" x14ac:dyDescent="0.25">
      <c r="AL76" s="1"/>
      <c r="AO76" s="1"/>
      <c r="BF76" s="4"/>
    </row>
    <row r="77" spans="1:67" s="212" customFormat="1" ht="24" customHeight="1" x14ac:dyDescent="0.25">
      <c r="A77" s="327" t="s">
        <v>122</v>
      </c>
      <c r="B77" s="327"/>
      <c r="C77" s="32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AO77" s="5"/>
      <c r="BF77" s="201"/>
    </row>
    <row r="78" spans="1:67" s="225" customFormat="1" ht="51.95" customHeight="1" x14ac:dyDescent="0.25">
      <c r="A78" s="390" t="s">
        <v>203</v>
      </c>
      <c r="B78" s="391"/>
      <c r="C78" s="391"/>
      <c r="D78" s="391"/>
      <c r="E78" s="391"/>
      <c r="F78" s="391"/>
      <c r="G78" s="391"/>
      <c r="H78" s="391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2"/>
      <c r="X78" s="226"/>
      <c r="Y78" s="226"/>
      <c r="Z78" s="226"/>
      <c r="AA78" s="226"/>
      <c r="AF78" s="227"/>
      <c r="AG78" s="228"/>
      <c r="AH78" s="228"/>
      <c r="AI78" s="228"/>
      <c r="AK78" s="226"/>
      <c r="BF78" s="228"/>
    </row>
    <row r="79" spans="1:67" s="225" customFormat="1" ht="36" customHeight="1" x14ac:dyDescent="0.25">
      <c r="A79" s="390" t="s">
        <v>189</v>
      </c>
      <c r="B79" s="391"/>
      <c r="C79" s="391"/>
      <c r="D79" s="391"/>
      <c r="E79" s="391"/>
      <c r="F79" s="391"/>
      <c r="G79" s="391"/>
      <c r="H79" s="391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2"/>
      <c r="U79" s="229"/>
      <c r="AL79" s="226"/>
      <c r="AO79" s="229"/>
      <c r="BE79" s="227"/>
      <c r="BF79" s="228"/>
      <c r="BG79" s="228"/>
      <c r="BH79" s="228"/>
      <c r="BK79" s="226"/>
      <c r="BL79" s="226"/>
      <c r="BM79" s="226"/>
      <c r="BO79" s="229"/>
    </row>
    <row r="80" spans="1:67" ht="24" customHeight="1" x14ac:dyDescent="0.25">
      <c r="A80" s="255" t="s">
        <v>159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7" t="s">
        <v>47</v>
      </c>
      <c r="O80" s="258"/>
      <c r="P80" s="258"/>
      <c r="Q80" s="258"/>
      <c r="R80" s="258"/>
      <c r="S80" s="259"/>
      <c r="T80" s="178"/>
      <c r="U80" s="5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M80" s="178"/>
      <c r="AN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3"/>
      <c r="BF80" s="4"/>
      <c r="BG80" s="4"/>
      <c r="BH80" s="4"/>
      <c r="BK80" s="2"/>
      <c r="BL80" s="2"/>
      <c r="BM80" s="2"/>
      <c r="BO80" s="5"/>
    </row>
    <row r="81" spans="1:67" ht="24" customHeight="1" x14ac:dyDescent="0.25">
      <c r="A81" s="260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178"/>
      <c r="U81" s="5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M81" s="178"/>
      <c r="AN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3"/>
      <c r="BF81" s="4"/>
      <c r="BG81" s="4"/>
      <c r="BH81" s="4"/>
      <c r="BK81" s="2"/>
      <c r="BL81" s="2"/>
      <c r="BM81" s="2"/>
      <c r="BO81" s="5"/>
    </row>
    <row r="82" spans="1:67" ht="24" customHeight="1" x14ac:dyDescent="0.25">
      <c r="A82" s="260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178"/>
      <c r="U82" s="5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3"/>
      <c r="AM82" s="178"/>
      <c r="AN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3"/>
      <c r="BF82" s="4"/>
      <c r="BG82" s="4"/>
      <c r="BH82" s="4"/>
      <c r="BK82" s="2"/>
      <c r="BL82" s="2"/>
      <c r="BM82" s="2"/>
      <c r="BO82" s="5"/>
    </row>
    <row r="83" spans="1:67" ht="24" customHeight="1" x14ac:dyDescent="0.25">
      <c r="A83" s="260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178"/>
      <c r="U83" s="5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3"/>
      <c r="AM83" s="178"/>
      <c r="AN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3"/>
      <c r="BF83" s="4"/>
      <c r="BG83" s="4"/>
      <c r="BH83" s="4"/>
      <c r="BK83" s="2"/>
      <c r="BL83" s="2"/>
      <c r="BM83" s="2"/>
      <c r="BO83" s="5"/>
    </row>
    <row r="84" spans="1:67" ht="24" customHeight="1" x14ac:dyDescent="0.25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178"/>
      <c r="U84" s="5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3"/>
      <c r="AM84" s="178"/>
      <c r="AN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3"/>
      <c r="BF84" s="4"/>
      <c r="BG84" s="4"/>
      <c r="BH84" s="4"/>
      <c r="BK84" s="2"/>
      <c r="BL84" s="2"/>
      <c r="BM84" s="2"/>
      <c r="BO84" s="5"/>
    </row>
    <row r="85" spans="1:67" ht="12" customHeight="1" x14ac:dyDescent="0.2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178"/>
      <c r="U85" s="5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3"/>
      <c r="AM85" s="178"/>
      <c r="AN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3"/>
      <c r="BF85" s="4"/>
      <c r="BG85" s="4"/>
      <c r="BH85" s="4"/>
      <c r="BK85" s="2"/>
      <c r="BL85" s="2"/>
      <c r="BM85" s="2"/>
      <c r="BO85" s="5"/>
    </row>
    <row r="86" spans="1:67" ht="24" customHeight="1" x14ac:dyDescent="0.25">
      <c r="A86" s="212"/>
      <c r="B86" s="235" t="s">
        <v>155</v>
      </c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12"/>
      <c r="T86" s="178"/>
      <c r="U86" s="5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3"/>
      <c r="AM86" s="178"/>
      <c r="AN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3"/>
      <c r="BF86" s="4"/>
      <c r="BG86" s="4"/>
      <c r="BH86" s="4"/>
      <c r="BK86" s="2"/>
      <c r="BL86" s="2"/>
      <c r="BM86" s="2"/>
      <c r="BO86" s="5"/>
    </row>
    <row r="87" spans="1:67" ht="24" customHeight="1" x14ac:dyDescent="0.25">
      <c r="A87" s="212"/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178"/>
      <c r="U87" s="5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3"/>
      <c r="AM87" s="178"/>
      <c r="AN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3"/>
      <c r="BF87" s="4"/>
      <c r="BG87" s="4"/>
      <c r="BH87" s="4"/>
      <c r="BK87" s="2"/>
      <c r="BL87" s="2"/>
      <c r="BM87" s="2"/>
      <c r="BO87" s="5"/>
    </row>
    <row r="88" spans="1:67" ht="24" customHeight="1" x14ac:dyDescent="0.25">
      <c r="A88" s="236" t="s">
        <v>0</v>
      </c>
      <c r="B88" s="236"/>
      <c r="C88" s="236"/>
      <c r="D88" s="237" t="str">
        <f>D8</f>
        <v>Baustelle Musterstraße Los 8a</v>
      </c>
      <c r="E88" s="237"/>
      <c r="F88" s="237"/>
      <c r="G88" s="237"/>
      <c r="H88" s="237"/>
      <c r="I88" s="237"/>
      <c r="J88" s="7"/>
      <c r="K88" s="236" t="s">
        <v>52</v>
      </c>
      <c r="L88" s="236"/>
      <c r="M88" s="236"/>
      <c r="N88" s="237">
        <f>N8</f>
        <v>123456</v>
      </c>
      <c r="O88" s="237"/>
      <c r="P88" s="237"/>
      <c r="Q88" s="237"/>
      <c r="R88" s="237"/>
      <c r="S88" s="237"/>
      <c r="T88" s="178"/>
      <c r="U88" s="5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3"/>
      <c r="AM88" s="178"/>
      <c r="AN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3"/>
      <c r="BF88" s="4"/>
      <c r="BG88" s="4"/>
      <c r="BH88" s="4"/>
      <c r="BK88" s="2"/>
      <c r="BL88" s="2"/>
      <c r="BM88" s="2"/>
      <c r="BO88" s="5"/>
    </row>
    <row r="89" spans="1:67" ht="12" customHeight="1" thickBot="1" x14ac:dyDescent="0.3">
      <c r="A89" s="212"/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178"/>
      <c r="U89" s="5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3"/>
      <c r="AM89" s="2"/>
      <c r="AN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</row>
    <row r="90" spans="1:67" ht="12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78"/>
      <c r="U90" s="5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3"/>
      <c r="AM90" s="2"/>
      <c r="AN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</row>
    <row r="91" spans="1:67" s="212" customFormat="1" ht="24" customHeight="1" thickBot="1" x14ac:dyDescent="0.3">
      <c r="A91" s="398" t="s">
        <v>194</v>
      </c>
      <c r="B91" s="398"/>
      <c r="C91" s="398"/>
      <c r="D91" s="398"/>
      <c r="E91" s="208"/>
      <c r="F91" s="208"/>
      <c r="G91" s="209" t="s">
        <v>128</v>
      </c>
      <c r="H91" s="208"/>
      <c r="I91" s="214" t="s">
        <v>129</v>
      </c>
      <c r="J91" s="208"/>
      <c r="K91" s="208"/>
      <c r="L91" s="398" t="s">
        <v>150</v>
      </c>
      <c r="M91" s="399"/>
      <c r="N91" s="399"/>
      <c r="O91" s="195"/>
      <c r="P91" s="398" t="s">
        <v>151</v>
      </c>
      <c r="Q91" s="399"/>
      <c r="R91" s="399"/>
      <c r="S91" s="208"/>
    </row>
    <row r="92" spans="1:67" s="212" customFormat="1" ht="14.1" customHeight="1" x14ac:dyDescent="0.2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1:67" s="212" customFormat="1" ht="14.1" customHeight="1" thickBot="1" x14ac:dyDescent="0.3">
      <c r="A93" s="400" t="s">
        <v>130</v>
      </c>
      <c r="B93" s="400"/>
      <c r="C93" s="207"/>
      <c r="D93" s="207"/>
      <c r="E93" s="207"/>
      <c r="F93" s="207"/>
      <c r="G93" s="210">
        <v>1</v>
      </c>
      <c r="H93" s="207"/>
      <c r="I93" s="215" t="s">
        <v>131</v>
      </c>
      <c r="J93" s="207"/>
      <c r="K93" s="207"/>
      <c r="L93" s="211"/>
      <c r="M93" s="211"/>
      <c r="N93" s="211"/>
      <c r="O93" s="207"/>
      <c r="P93" s="211"/>
      <c r="Q93" s="211"/>
      <c r="R93" s="211"/>
      <c r="S93" s="207"/>
    </row>
    <row r="94" spans="1:67" ht="14.1" customHeight="1" x14ac:dyDescent="0.25">
      <c r="D94" s="2"/>
      <c r="E94" s="2"/>
      <c r="F94" s="2"/>
      <c r="G94" s="2"/>
      <c r="H94" s="2"/>
      <c r="I94" s="178"/>
      <c r="J94" s="178"/>
      <c r="K94" s="178"/>
      <c r="L94" s="178"/>
      <c r="M94" s="3"/>
      <c r="N94" s="4"/>
      <c r="O94" s="4"/>
      <c r="P94" s="178"/>
      <c r="Q94" s="2"/>
      <c r="R94" s="2"/>
      <c r="S94" s="178"/>
      <c r="T94" s="178"/>
      <c r="U94" s="5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3"/>
      <c r="AM94" s="2"/>
      <c r="AN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</row>
    <row r="95" spans="1:67" ht="14.1" customHeight="1" x14ac:dyDescent="0.25">
      <c r="D95" s="401" t="str">
        <f>IF($H$54="","",IF($H$54="Schmutzwasser",LV_Texte!A3,IF($H$54="Mischwasser",LV_Texte!A3,IF($H$54="Regenwasser",LV_Texte!B3))))</f>
        <v>Schmutzwasserschacht DN 1000</v>
      </c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178"/>
      <c r="Q95" s="2"/>
      <c r="R95" s="2"/>
      <c r="S95" s="178"/>
      <c r="T95" s="178"/>
      <c r="U95" s="5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3"/>
      <c r="AM95" s="2"/>
      <c r="AN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</row>
    <row r="96" spans="1:67" ht="14.1" customHeight="1" x14ac:dyDescent="0.25">
      <c r="D96" s="402" t="str">
        <f>IF($H$54="","",IF($H$54="Schmutzwasser",LV_Texte!A4,IF($H$54="Mischwasser",LV_Texte!A4,IF($H$54="Regenwasser",LV_Texte!B4))))</f>
        <v>Typ 2 nach DIN EN 1917, DIN 4034-1, FBS-Qualitätsrichtlinie</v>
      </c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178"/>
      <c r="Q96" s="2"/>
      <c r="R96" s="2"/>
      <c r="S96" s="178"/>
      <c r="T96" s="178"/>
      <c r="U96" s="5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3"/>
      <c r="AM96" s="2"/>
      <c r="AN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</row>
    <row r="97" spans="4:59" ht="14.1" customHeight="1" x14ac:dyDescent="0.25">
      <c r="D97" s="402" t="str">
        <f>IF($H$54="","",IF($H$54="Schmutzwasser",LV_Texte!A5,IF($H$54="Mischwasser",LV_Texte!A5,IF($H$54="Regenwasser",LV_Texte!B5))))</f>
        <v>sowie den nachfolgenden Anforderungen herstellen, liefern und</v>
      </c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178"/>
      <c r="Q97" s="2"/>
      <c r="R97" s="2"/>
      <c r="S97" s="178"/>
      <c r="T97" s="178"/>
      <c r="U97" s="5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3"/>
      <c r="AM97" s="2"/>
      <c r="AN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</row>
    <row r="98" spans="4:59" ht="14.1" customHeight="1" x14ac:dyDescent="0.25">
      <c r="D98" s="402" t="str">
        <f>IF($H$54="","",IF($H$54="Schmutzwasser",LV_Texte!A6,IF($H$54="Mischwasser",LV_Texte!A6,IF($H$54="Regenwasser",LV_Texte!B6))))</f>
        <v>wasserdicht nach Arbeitsblatt DWA-A 139, DIN EN 1610 und DIN</v>
      </c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178"/>
      <c r="Q98" s="2"/>
      <c r="R98" s="2"/>
      <c r="S98" s="178"/>
      <c r="T98" s="178"/>
      <c r="U98" s="5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3"/>
      <c r="AM98" s="2"/>
      <c r="AN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4:59" ht="14.1" customHeight="1" x14ac:dyDescent="0.25">
      <c r="D99" s="402" t="str">
        <f>IF($H$54="","",IF($H$54="Schmutzwasser",LV_Texte!A7,IF($H$54="Mischwasser",LV_Texte!A7,IF($H$54="Regenwasser",LV_Texte!B7))))</f>
        <v>18306 versetzen.</v>
      </c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178"/>
      <c r="Q99" s="2"/>
      <c r="R99" s="2"/>
      <c r="S99" s="178"/>
      <c r="T99" s="178"/>
      <c r="U99" s="5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3"/>
      <c r="AM99" s="2"/>
      <c r="AN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</row>
    <row r="100" spans="4:59" ht="14.1" customHeight="1" x14ac:dyDescent="0.25">
      <c r="D100" s="400" t="str">
        <f>IF($H$54="","",IF($H$54="Schmutzwasser",LV_Texte!A8,IF($H$54="Mischwasser",LV_Texte!A8,IF($H$54="Regenwasser",LV_Texte!B8))))</f>
        <v/>
      </c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AB100" s="178"/>
      <c r="AC100" s="178"/>
      <c r="AD100" s="178"/>
      <c r="AE100" s="178"/>
      <c r="AJ100" s="178"/>
      <c r="AM100" s="2"/>
      <c r="AN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</row>
    <row r="101" spans="4:59" ht="14.1" customHeight="1" x14ac:dyDescent="0.25">
      <c r="D101" s="400" t="str">
        <f>IF($H$54="","",IF($H$54="Schmutzwasser",LV_Texte!A9,IF($H$54="Mischwasser",LV_Texte!A9,IF($H$54="Regenwasser",LV_Texte!B9))))</f>
        <v>Das Schachtunterteil ist einschließlich Gerinne,</v>
      </c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AB101" s="178"/>
      <c r="AC101" s="178"/>
      <c r="AD101" s="178"/>
      <c r="AE101" s="178"/>
      <c r="AJ101" s="178"/>
      <c r="AM101" s="2"/>
      <c r="AN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</row>
    <row r="102" spans="4:59" ht="14.1" customHeight="1" x14ac:dyDescent="0.25">
      <c r="D102" s="400" t="str">
        <f>IF($H$54="","",IF($H$54="Schmutzwasser",LV_Texte!A10,IF($H$54="Mischwasser",LV_Texte!A10,IF($H$54="Regenwasser",LV_Texte!B10))))</f>
        <v>Berme und Auftrittsfläche monolithisch mit den</v>
      </c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AB102" s="178"/>
      <c r="AC102" s="178"/>
      <c r="AD102" s="178"/>
      <c r="AE102" s="178"/>
      <c r="AJ102" s="178"/>
      <c r="AM102" s="2"/>
      <c r="AN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</row>
    <row r="103" spans="4:59" ht="14.1" customHeight="1" x14ac:dyDescent="0.25">
      <c r="D103" s="400" t="str">
        <f>IF($H$54="","",IF($H$54="Schmutzwasser",LV_Texte!A11,IF($H$54="Mischwasser",LV_Texte!A11,IF($H$54="Regenwasser",LV_Texte!B11))))</f>
        <v>folgenden zusätzlichen Anforderungen herzustellen:</v>
      </c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AB103" s="178"/>
      <c r="AC103" s="178"/>
      <c r="AD103" s="178"/>
      <c r="AE103" s="178"/>
      <c r="AJ103" s="178"/>
      <c r="AM103" s="2"/>
      <c r="AN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</row>
    <row r="104" spans="4:59" ht="14.1" customHeight="1" x14ac:dyDescent="0.25">
      <c r="D104" s="400" t="str">
        <f>IF($H$54="","",IF($H$54="Schmutzwasser",LV_Texte!A12,IF($H$54="Mischwasser",LV_Texte!A12,IF($H$54="Regenwasser",LV_Texte!B12))))</f>
        <v>• Systemzertifizierung nach ISO 9001</v>
      </c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AB104" s="178"/>
      <c r="AC104" s="178"/>
      <c r="AD104" s="178"/>
      <c r="AE104" s="178"/>
      <c r="AJ104" s="178"/>
      <c r="AM104" s="2"/>
      <c r="AN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</row>
    <row r="105" spans="4:59" ht="14.1" customHeight="1" x14ac:dyDescent="0.25">
      <c r="D105" s="400" t="str">
        <f>IF($H$54="","",IF($H$54="Schmutzwasser",LV_Texte!A13,IF($H$54="Mischwasser",LV_Texte!A13,IF($H$54="Regenwasser",LV_Texte!B13))))</f>
        <v>• Produktzertifizierung nach FBS-Qualitätsrichtlinie</v>
      </c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AB105" s="178"/>
      <c r="AC105" s="178"/>
      <c r="AD105" s="178"/>
      <c r="AE105" s="178"/>
      <c r="AJ105" s="178"/>
      <c r="AM105" s="2"/>
      <c r="AN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</row>
    <row r="106" spans="4:59" ht="14.1" customHeight="1" x14ac:dyDescent="0.25">
      <c r="D106" s="400" t="str">
        <f>IF($H$54="","",IF($H$54="Schmutzwasser",LV_Texte!A14,IF($H$54="Mischwasser",LV_Texte!A14,IF($H$54="Regenwasser",LV_Texte!B14))))</f>
        <v>• in der Schalung erhärtet</v>
      </c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AB106" s="178"/>
      <c r="AC106" s="178"/>
      <c r="AD106" s="178"/>
      <c r="AE106" s="178"/>
      <c r="AJ106" s="178"/>
      <c r="AM106" s="2"/>
      <c r="AN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</row>
    <row r="107" spans="4:59" ht="14.1" customHeight="1" x14ac:dyDescent="0.25">
      <c r="D107" s="400" t="str">
        <f>IF($H$54="","",IF($H$54="Schmutzwasser",LV_Texte!A15,IF($H$54="Mischwasser",LV_Texte!A15,IF($H$54="Regenwasser",LV_Texte!B15))))</f>
        <v>• homogene, glatte und porenarme Oberfläche</v>
      </c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AB107" s="178"/>
      <c r="AC107" s="178"/>
      <c r="AD107" s="178"/>
      <c r="AE107" s="178"/>
      <c r="AJ107" s="178"/>
      <c r="AM107" s="2"/>
      <c r="AN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</row>
    <row r="108" spans="4:59" ht="14.1" customHeight="1" x14ac:dyDescent="0.25">
      <c r="D108" s="400" t="str">
        <f>IF($H$54="","",IF($H$54="Schmutzwasser",LV_Texte!A16,IF($H$54="Mischwasser",LV_Texte!A16,IF($H$54="Regenwasser",LV_Texte!B16))))</f>
        <v>• formschlüssige Lastaufnahmepunkte nach Arbeitsblatt DWA-A 139</v>
      </c>
      <c r="E108" s="400"/>
      <c r="F108" s="400"/>
      <c r="G108" s="400"/>
      <c r="H108" s="400"/>
      <c r="I108" s="400"/>
      <c r="J108" s="400"/>
      <c r="K108" s="400"/>
      <c r="L108" s="400"/>
      <c r="M108" s="400"/>
      <c r="N108" s="400"/>
      <c r="O108" s="400"/>
      <c r="AB108" s="178"/>
      <c r="AC108" s="178"/>
      <c r="AD108" s="178"/>
      <c r="AE108" s="178"/>
      <c r="AJ108" s="178"/>
      <c r="AM108" s="2"/>
      <c r="AN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</row>
    <row r="109" spans="4:59" ht="14.1" customHeight="1" x14ac:dyDescent="0.25">
      <c r="D109" s="400" t="str">
        <f>IF($H$54="","",IF($H$54="Schmutzwasser",LV_Texte!A17,IF($H$54="Mischwasser",LV_Texte!A17,IF($H$54="Regenwasser",LV_Texte!B17))))</f>
        <v/>
      </c>
      <c r="E109" s="400"/>
      <c r="F109" s="400"/>
      <c r="G109" s="400"/>
      <c r="H109" s="400"/>
      <c r="I109" s="400"/>
      <c r="J109" s="400"/>
      <c r="K109" s="400"/>
      <c r="L109" s="400"/>
      <c r="M109" s="400"/>
      <c r="N109" s="400"/>
      <c r="O109" s="400"/>
      <c r="AB109" s="178"/>
      <c r="AC109" s="178"/>
      <c r="AD109" s="178"/>
      <c r="AE109" s="178"/>
      <c r="AJ109" s="178"/>
      <c r="AM109" s="2"/>
      <c r="AN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</row>
    <row r="110" spans="4:59" ht="14.1" customHeight="1" x14ac:dyDescent="0.25">
      <c r="D110" s="400" t="str">
        <f>IF($H$54="","",IF($H$54="Schmutzwasser",LV_Texte!A18,IF($H$54="Mischwasser",LV_Texte!A18,IF($H$54="Regenwasser",LV_Texte!B18))))</f>
        <v>Zu- &amp; Abläufe:</v>
      </c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AM110" s="2"/>
    </row>
    <row r="111" spans="4:59" ht="14.1" customHeight="1" x14ac:dyDescent="0.25">
      <c r="D111" s="400" t="str">
        <f>IF($H$54="","",IF($H$54="Schmutzwasser",LV_Texte!A19,IF($H$54="Mischwasser",LV_Texte!A19,IF($H$54="Regenwasser",LV_Texte!B19))))</f>
        <v>Ablauf entfällt</v>
      </c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AM111" s="2"/>
    </row>
    <row r="112" spans="4:59" ht="14.1" customHeight="1" x14ac:dyDescent="0.25">
      <c r="D112" s="400" t="str">
        <f>IF($H$54="","",IF($H$54="Schmutzwasser",LV_Texte!A20,IF($H$54="Mischwasser",LV_Texte!A20,IF($H$54="Regenwasser",LV_Texte!B20))))</f>
        <v>Zulauf 1 entfällt</v>
      </c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AM112" s="2"/>
    </row>
    <row r="113" spans="4:39" ht="14.1" customHeight="1" x14ac:dyDescent="0.25">
      <c r="D113" s="400" t="str">
        <f>IF($H$54="","",IF($H$54="Schmutzwasser",LV_Texte!A21,IF($H$54="Mischwasser",LV_Texte!A21,IF($H$54="Regenwasser",LV_Texte!B21))))</f>
        <v>Zulauf 2 entfällt</v>
      </c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AM113" s="2"/>
    </row>
    <row r="114" spans="4:39" ht="14.1" customHeight="1" x14ac:dyDescent="0.25">
      <c r="D114" s="400" t="str">
        <f>IF($H$54="","",IF($H$54="Schmutzwasser",LV_Texte!A22,IF($H$54="Mischwasser",LV_Texte!A22,IF($H$54="Regenwasser",LV_Texte!B22))))</f>
        <v>Zulauf 3 entfällt</v>
      </c>
      <c r="E114" s="400"/>
      <c r="F114" s="400"/>
      <c r="G114" s="400"/>
      <c r="H114" s="400"/>
      <c r="I114" s="400"/>
      <c r="J114" s="400"/>
      <c r="K114" s="400"/>
      <c r="L114" s="400"/>
      <c r="M114" s="400"/>
      <c r="N114" s="400"/>
      <c r="O114" s="400"/>
      <c r="AM114" s="2"/>
    </row>
    <row r="115" spans="4:39" ht="14.1" customHeight="1" x14ac:dyDescent="0.25">
      <c r="D115" s="400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AM115" s="2"/>
    </row>
    <row r="116" spans="4:39" ht="14.1" customHeight="1" x14ac:dyDescent="0.25">
      <c r="D116" s="400" t="str">
        <f>IF($H$54="","",IF($H$54="Schmutzwasser",LV_Texte!A24,IF($H$54="Mischwasser",LV_Texte!A24,IF($H$54="Regenwasser",LV_Texte!B24))))</f>
        <v>Schachtunterteil:</v>
      </c>
      <c r="E116" s="400"/>
      <c r="F116" s="400"/>
      <c r="G116" s="400"/>
      <c r="H116" s="400"/>
      <c r="I116" s="400"/>
      <c r="J116" s="400"/>
      <c r="K116" s="400"/>
      <c r="L116" s="400"/>
      <c r="M116" s="400"/>
      <c r="N116" s="400"/>
      <c r="O116" s="400"/>
      <c r="AM116" s="2"/>
    </row>
    <row r="117" spans="4:39" ht="14.1" customHeight="1" x14ac:dyDescent="0.25">
      <c r="D117" s="400" t="str">
        <f>IF($H$54="","",IF($H$54="Schmutzwasser",LV_Texte!A25,IF($H$54="Mischwasser",LV_Texte!A25,IF($H$54="Regenwasser",LV_Texte!B25))))</f>
        <v xml:space="preserve">• Wandstärke: 150 mm </v>
      </c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AM117" s="2"/>
    </row>
    <row r="118" spans="4:39" ht="14.1" customHeight="1" x14ac:dyDescent="0.25">
      <c r="D118" s="400" t="str">
        <f>IF($H$54="","",IF($H$54="Schmutzwasser",LV_Texte!A26,IF($H$54="Mischwasser",LV_Texte!A26,IF($H$54="Regenwasser",LV_Texte!B26))))</f>
        <v>• Nennweite: DN 1000</v>
      </c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AM118" s="2"/>
    </row>
    <row r="119" spans="4:39" ht="14.1" customHeight="1" x14ac:dyDescent="0.25">
      <c r="D119" s="400" t="str">
        <f>IF($H$54="","",IF($H$54="Schmutzwasser",LV_Texte!A27,IF($H$54="Mischwasser",LV_Texte!A27,IF($H$54="Regenwasser",LV_Texte!B27))))</f>
        <v>• Bauhöhe: 700 mm</v>
      </c>
      <c r="E119" s="400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AM119" s="2"/>
    </row>
    <row r="120" spans="4:39" ht="14.1" customHeight="1" x14ac:dyDescent="0.25">
      <c r="D120" s="400"/>
      <c r="E120" s="400"/>
      <c r="F120" s="400"/>
      <c r="G120" s="400"/>
      <c r="H120" s="400"/>
      <c r="I120" s="400"/>
      <c r="J120" s="400"/>
      <c r="K120" s="400"/>
      <c r="L120" s="400"/>
      <c r="M120" s="400"/>
      <c r="N120" s="400"/>
      <c r="O120" s="400"/>
      <c r="AM120" s="2"/>
    </row>
    <row r="121" spans="4:39" ht="14.1" customHeight="1" x14ac:dyDescent="0.25">
      <c r="D121" s="400" t="str">
        <f>IF($H$54="","",IF($H$54="Schmutzwasser",LV_Texte!A29,IF($H$54="Mischwasser",LV_Texte!A29,IF($H$54="Regenwasser",LV_Texte!B29))))</f>
        <v>Schachtaufbau:</v>
      </c>
      <c r="E121" s="400"/>
      <c r="F121" s="400"/>
      <c r="G121" s="400"/>
      <c r="H121" s="400"/>
      <c r="I121" s="400"/>
      <c r="J121" s="400"/>
      <c r="K121" s="400"/>
      <c r="L121" s="400"/>
      <c r="M121" s="400"/>
      <c r="N121" s="400"/>
      <c r="O121" s="400"/>
      <c r="AM121" s="2"/>
    </row>
    <row r="122" spans="4:39" ht="14.1" customHeight="1" x14ac:dyDescent="0.25">
      <c r="D122" s="400" t="str">
        <f>IF($H$54="","",IF($H$54="Schmutzwasser",LV_Texte!A30,IF($H$54="Mischwasser",LV_Texte!A30,IF($H$54="Regenwasser",LV_Texte!B30))))</f>
        <v>• lichte Schachttiefe gesamt: ca. 300 cm</v>
      </c>
      <c r="E122" s="400"/>
      <c r="F122" s="400"/>
      <c r="G122" s="400"/>
      <c r="H122" s="400"/>
      <c r="I122" s="400"/>
      <c r="J122" s="400"/>
      <c r="K122" s="400"/>
      <c r="L122" s="400"/>
      <c r="M122" s="400"/>
      <c r="N122" s="400"/>
      <c r="O122" s="400"/>
      <c r="AM122" s="2"/>
    </row>
    <row r="123" spans="4:39" ht="14.1" customHeight="1" x14ac:dyDescent="0.25">
      <c r="D123" s="400" t="str">
        <f>IF($H$54="","",IF($H$54="Schmutzwasser",LV_Texte!A31,IF($H$54="Mischwasser",LV_Texte!A31,IF($H$54="Regenwasser",LV_Texte!B31))))</f>
        <v>• Gesamthöhe Schachtringe: 100 cm</v>
      </c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AM123" s="2"/>
    </row>
    <row r="124" spans="4:39" ht="14.1" customHeight="1" x14ac:dyDescent="0.25">
      <c r="D124" s="400" t="str">
        <f>IF($H$54="","",IF($H$54="Schmutzwasser",LV_Texte!A32,IF($H$54="Mischwasser",LV_Texte!A32,IF($H$54="Regenwasser",LV_Texte!B32))))</f>
        <v>• Schachthals (eingezogener Einstieg) und Bauhöhe 60 cm</v>
      </c>
      <c r="E124" s="400"/>
      <c r="F124" s="400"/>
      <c r="G124" s="400"/>
      <c r="H124" s="400"/>
      <c r="I124" s="400"/>
      <c r="J124" s="400"/>
      <c r="K124" s="400"/>
      <c r="L124" s="400"/>
      <c r="M124" s="400"/>
      <c r="N124" s="400"/>
      <c r="O124" s="400"/>
      <c r="AM124" s="2"/>
    </row>
    <row r="125" spans="4:39" ht="14.1" customHeight="1" x14ac:dyDescent="0.25"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AM125" s="2"/>
    </row>
    <row r="126" spans="4:39" ht="14.1" customHeight="1" x14ac:dyDescent="0.25">
      <c r="D126" s="400" t="str">
        <f>IF($H$54="","",IF($H$54="Schmutzwasser",LV_Texte!A34,IF($H$54="Mischwasser",LV_Texte!A34,IF($H$54="Regenwasser",LV_Texte!B34))))</f>
        <v>Dichtsystem:</v>
      </c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AM126" s="2"/>
    </row>
    <row r="127" spans="4:39" ht="14.1" customHeight="1" x14ac:dyDescent="0.25">
      <c r="D127" s="400" t="str">
        <f>IF($H$54="","",IF($H$54="Schmutzwasser",LV_Texte!A35,IF($H$54="Mischwasser",LV_Texte!A35,IF($H$54="Regenwasser",LV_Texte!B35))))</f>
        <v>• Dichtungssystem nach DIN EN 681-1, DIN 4060 und FBS</v>
      </c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AM127" s="2"/>
    </row>
    <row r="128" spans="4:39" ht="14.1" customHeight="1" x14ac:dyDescent="0.25">
      <c r="D128" s="400" t="str">
        <f>IF($H$54="","",IF($H$54="Schmutzwasser",LV_Texte!A36,IF($H$54="Mischwasser",LV_Texte!A36,IF($H$54="Regenwasser",LV_Texte!B36))))</f>
        <v>• integriertes Lastabtrags- und Dichtungssystem TOP SEAL • Plus</v>
      </c>
      <c r="E128" s="400"/>
      <c r="F128" s="400"/>
      <c r="G128" s="400"/>
      <c r="H128" s="400"/>
      <c r="I128" s="400"/>
      <c r="J128" s="400"/>
      <c r="K128" s="400"/>
      <c r="L128" s="400"/>
      <c r="M128" s="400"/>
      <c r="N128" s="400"/>
      <c r="O128" s="400"/>
      <c r="AM128" s="2"/>
    </row>
    <row r="129" spans="1:39" ht="14.1" customHeight="1" x14ac:dyDescent="0.25">
      <c r="D129" s="400" t="str">
        <f>IF($H$54="","",IF($H$54="Schmutzwasser",LV_Texte!A37,IF($H$54="Mischwasser",LV_Texte!A37,IF($H$54="Regenwasser",LV_Texte!B37))))</f>
        <v>• Steiggänge aus Steighilfen nach DIN 19555</v>
      </c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  <c r="O129" s="400"/>
      <c r="AM129" s="2"/>
    </row>
    <row r="130" spans="1:39" ht="14.1" customHeight="1" x14ac:dyDescent="0.25">
      <c r="D130" s="400" t="str">
        <f>IF($H$54="","",IF($H$54="Schmutzwasser",LV_Texte!A38,IF($H$54="Mischwasser",LV_Texte!A38,IF($H$54="Regenwasser",LV_Texte!B38))))</f>
        <v xml:space="preserve">  in Form B mit Edelstahlkern und PE-ummantelt</v>
      </c>
      <c r="E130" s="400"/>
      <c r="F130" s="400"/>
      <c r="G130" s="400"/>
      <c r="H130" s="400"/>
      <c r="I130" s="400"/>
      <c r="J130" s="400"/>
      <c r="K130" s="400"/>
      <c r="L130" s="400"/>
      <c r="M130" s="400"/>
      <c r="N130" s="400"/>
      <c r="O130" s="400"/>
      <c r="AM130" s="2"/>
    </row>
    <row r="131" spans="1:39" ht="14.1" customHeight="1" x14ac:dyDescent="0.25">
      <c r="D131" s="400"/>
      <c r="E131" s="400"/>
      <c r="F131" s="400"/>
      <c r="G131" s="400"/>
      <c r="H131" s="400"/>
      <c r="I131" s="400"/>
      <c r="J131" s="400"/>
      <c r="K131" s="400"/>
      <c r="L131" s="400"/>
      <c r="M131" s="400"/>
      <c r="N131" s="400"/>
      <c r="O131" s="400"/>
      <c r="AM131" s="2"/>
    </row>
    <row r="132" spans="1:39" ht="14.1" customHeight="1" x14ac:dyDescent="0.25">
      <c r="D132" s="400" t="str">
        <f>IF($H$54="","",IF($H$54="Schmutzwasser",LV_Texte!A40,IF($H$54="Mischwasser",LV_Texte!A40,IF($H$54="Regenwasser",LV_Texte!B40))))</f>
        <v>Betonqualität:</v>
      </c>
      <c r="E132" s="400"/>
      <c r="F132" s="400"/>
      <c r="G132" s="400"/>
      <c r="H132" s="400"/>
      <c r="I132" s="400"/>
      <c r="J132" s="400"/>
      <c r="K132" s="400"/>
      <c r="L132" s="400"/>
      <c r="M132" s="400"/>
      <c r="N132" s="400"/>
      <c r="O132" s="400"/>
      <c r="AM132" s="2"/>
    </row>
    <row r="133" spans="1:39" ht="14.1" customHeight="1" x14ac:dyDescent="0.25">
      <c r="D133" s="400" t="str">
        <f>IF($H$54="","",IF($H$54="Schmutzwasser",LV_Texte!A41,IF($H$54="Mischwasser",LV_Texte!A41,IF($H$54="Regenwasser",LV_Texte!B41))))</f>
        <v>• Druckfestigkeit C 60/75</v>
      </c>
      <c r="E133" s="400"/>
      <c r="F133" s="400"/>
      <c r="G133" s="400"/>
      <c r="H133" s="400"/>
      <c r="I133" s="400"/>
      <c r="J133" s="400"/>
      <c r="K133" s="400"/>
      <c r="L133" s="400"/>
      <c r="M133" s="400"/>
      <c r="N133" s="400"/>
      <c r="O133" s="400"/>
      <c r="AM133" s="2"/>
    </row>
    <row r="134" spans="1:39" ht="14.1" customHeight="1" x14ac:dyDescent="0.25">
      <c r="D134" s="400" t="str">
        <f>IF($H$54="","",IF($H$54="Schmutzwasser",LV_Texte!A42,IF($H$54="Mischwasser",LV_Texte!A42,IF($H$54="Regenwasser",LV_Texte!B42))))</f>
        <v>• Expositionsklasse XC4, XD3, XF1, XM2, XA3</v>
      </c>
      <c r="E134" s="400"/>
      <c r="F134" s="400"/>
      <c r="G134" s="400"/>
      <c r="H134" s="400"/>
      <c r="I134" s="400"/>
      <c r="J134" s="400"/>
      <c r="K134" s="400"/>
      <c r="L134" s="400"/>
      <c r="M134" s="400"/>
      <c r="N134" s="400"/>
      <c r="O134" s="400"/>
      <c r="AM134" s="2"/>
    </row>
    <row r="135" spans="1:39" ht="14.1" customHeight="1" x14ac:dyDescent="0.25">
      <c r="D135" s="400" t="str">
        <f>IF($H$54="","",IF($H$54="Schmutzwasser",LV_Texte!A43,IF($H$54="Mischwasser",LV_Texte!A43,IF($H$54="Regenwasser",LV_Texte!B43))))</f>
        <v>• Wassereindringtiefe &lt; 1 mm</v>
      </c>
      <c r="E135" s="400"/>
      <c r="F135" s="400"/>
      <c r="G135" s="400"/>
      <c r="H135" s="400"/>
      <c r="I135" s="400"/>
      <c r="J135" s="400"/>
      <c r="K135" s="400"/>
      <c r="L135" s="400"/>
      <c r="M135" s="400"/>
      <c r="N135" s="400"/>
      <c r="O135" s="400"/>
    </row>
    <row r="136" spans="1:39" ht="14.1" customHeight="1" x14ac:dyDescent="0.25">
      <c r="D136" s="400" t="str">
        <f>IF($H$54="","",IF($H$54="Schmutzwasser",LV_Texte!A44,IF($H$54="Mischwasser",LV_Texte!A44,IF($H$54="Regenwasser",LV_Texte!B44))))</f>
        <v>• max. w/z Wert 0,39</v>
      </c>
      <c r="E136" s="400"/>
      <c r="F136" s="400"/>
      <c r="G136" s="400"/>
      <c r="H136" s="400"/>
      <c r="I136" s="400"/>
      <c r="J136" s="400"/>
      <c r="K136" s="400"/>
      <c r="L136" s="400"/>
      <c r="M136" s="400"/>
      <c r="N136" s="400"/>
      <c r="O136" s="400"/>
    </row>
    <row r="137" spans="1:39" ht="14.1" customHeight="1" x14ac:dyDescent="0.25">
      <c r="D137" s="400" t="str">
        <f>IF($H$54="","",IF($H$54="Schmutzwasser",LV_Texte!A45,IF($H$54="Mischwasser",LV_Texte!A45,IF($H$54="Regenwasser",LV_Texte!B45))))</f>
        <v>• max. Schädigungstiefe nach DIN 19573 Anhang A für</v>
      </c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</row>
    <row r="138" spans="1:39" ht="14.1" customHeight="1" x14ac:dyDescent="0.25">
      <c r="D138" s="400" t="str">
        <f>IF($H$54="","",IF($H$54="Schmutzwasser",LV_Texte!A46,IF($H$54="Mischwasser",LV_Texte!A46,IF($H$54="Regenwasser",LV_Texte!B46))))</f>
        <v xml:space="preserve">  pH 0 &lt; 5,5 mm und pH 1 &lt; 3 mm</v>
      </c>
      <c r="E138" s="400"/>
      <c r="F138" s="400"/>
      <c r="G138" s="400"/>
      <c r="H138" s="400"/>
      <c r="I138" s="400"/>
      <c r="J138" s="400"/>
      <c r="K138" s="400"/>
      <c r="L138" s="400"/>
      <c r="M138" s="400"/>
      <c r="N138" s="400"/>
      <c r="O138" s="400"/>
    </row>
    <row r="139" spans="1:39" ht="14.1" customHeight="1" x14ac:dyDescent="0.25">
      <c r="D139" s="400" t="str">
        <f>IF($H$54="","",IF($H$54="Schmutzwasser",LV_Texte!A47,IF($H$54="Mischwasser",LV_Texte!A47,IF($H$54="Regenwasser",LV_Texte!B47))))</f>
        <v>• max. Schädigungstiefe nach Performance-Prüfung nach ZTV-EGLV</v>
      </c>
      <c r="E139" s="400"/>
      <c r="F139" s="400"/>
      <c r="G139" s="400"/>
      <c r="H139" s="400"/>
      <c r="I139" s="400"/>
      <c r="J139" s="400"/>
      <c r="K139" s="400"/>
      <c r="L139" s="400"/>
      <c r="M139" s="400"/>
      <c r="N139" s="400"/>
      <c r="O139" s="400"/>
    </row>
    <row r="140" spans="1:39" ht="14.1" customHeight="1" x14ac:dyDescent="0.25">
      <c r="D140" s="400" t="str">
        <f>IF($H$54="","",IF($H$54="Schmutzwasser",LV_Texte!A48,IF($H$54="Mischwasser",LV_Texte!A48,IF($H$54="Regenwasser",LV_Texte!B48))))</f>
        <v xml:space="preserve">  bei pH 3,5 &lt; 1,25 mm</v>
      </c>
      <c r="E140" s="400"/>
      <c r="F140" s="400"/>
      <c r="G140" s="400"/>
      <c r="H140" s="400"/>
      <c r="I140" s="400"/>
      <c r="J140" s="400"/>
      <c r="K140" s="400"/>
      <c r="L140" s="400"/>
      <c r="M140" s="400"/>
      <c r="N140" s="400"/>
      <c r="O140" s="400"/>
    </row>
    <row r="141" spans="1:39" ht="14.1" customHeight="1" x14ac:dyDescent="0.25">
      <c r="D141" s="400"/>
      <c r="E141" s="400"/>
      <c r="F141" s="400"/>
      <c r="G141" s="400"/>
      <c r="H141" s="400"/>
      <c r="I141" s="400"/>
      <c r="J141" s="400"/>
      <c r="K141" s="400"/>
      <c r="L141" s="400"/>
      <c r="M141" s="400"/>
      <c r="N141" s="400"/>
      <c r="O141" s="400"/>
    </row>
    <row r="142" spans="1:39" ht="24" customHeight="1" x14ac:dyDescent="0.25">
      <c r="A142" s="327" t="s">
        <v>122</v>
      </c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</row>
    <row r="143" spans="1:39" ht="36" customHeight="1" x14ac:dyDescent="0.25">
      <c r="A143" s="390" t="s">
        <v>204</v>
      </c>
      <c r="B143" s="391"/>
      <c r="C143" s="391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391"/>
      <c r="P143" s="391"/>
      <c r="Q143" s="391"/>
      <c r="R143" s="391"/>
      <c r="S143" s="392"/>
    </row>
    <row r="144" spans="1:39" ht="24" customHeight="1" x14ac:dyDescent="0.25">
      <c r="A144" s="255" t="s">
        <v>159</v>
      </c>
      <c r="B144" s="256"/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7" t="s">
        <v>47</v>
      </c>
      <c r="O144" s="257"/>
      <c r="P144" s="257"/>
      <c r="Q144" s="257"/>
      <c r="R144" s="257"/>
      <c r="S144" s="404"/>
    </row>
    <row r="145" spans="4:15" ht="20.100000000000001" customHeight="1" x14ac:dyDescent="0.25">
      <c r="D145" s="403"/>
      <c r="E145" s="403"/>
      <c r="F145" s="403"/>
      <c r="G145" s="403"/>
      <c r="H145" s="403"/>
      <c r="I145" s="403"/>
      <c r="J145" s="403"/>
      <c r="K145" s="403"/>
      <c r="L145" s="403"/>
      <c r="M145" s="403"/>
      <c r="N145" s="403"/>
      <c r="O145" s="403"/>
    </row>
  </sheetData>
  <sheetProtection algorithmName="SHA-512" hashValue="MeKj4z0VnTDO7SLnm/ijuS4nY4oR8UGBgbiYPANfeIwGTAD8x2/2yPzEMAfQwW11b5VwvmW8czW49CaiR8IDGQ==" saltValue="p38ShGMvBWz+xkihUfWJVA==" spinCount="100000" sheet="1" objects="1" scenarios="1"/>
  <dataConsolidate/>
  <mergeCells count="282">
    <mergeCell ref="A70:D71"/>
    <mergeCell ref="E70:F70"/>
    <mergeCell ref="E71:F71"/>
    <mergeCell ref="A72:E73"/>
    <mergeCell ref="I73:J73"/>
    <mergeCell ref="F73:H73"/>
    <mergeCell ref="L72:S73"/>
    <mergeCell ref="D138:O138"/>
    <mergeCell ref="D139:O139"/>
    <mergeCell ref="D140:O140"/>
    <mergeCell ref="D141:O141"/>
    <mergeCell ref="D145:O145"/>
    <mergeCell ref="A142:S142"/>
    <mergeCell ref="A143:S143"/>
    <mergeCell ref="A144:M144"/>
    <mergeCell ref="N144:S144"/>
    <mergeCell ref="D129:O129"/>
    <mergeCell ref="D130:O130"/>
    <mergeCell ref="D131:O131"/>
    <mergeCell ref="D132:O132"/>
    <mergeCell ref="D133:O133"/>
    <mergeCell ref="D134:O134"/>
    <mergeCell ref="D135:O135"/>
    <mergeCell ref="D136:O136"/>
    <mergeCell ref="D137:O137"/>
    <mergeCell ref="D120:O120"/>
    <mergeCell ref="D121:O121"/>
    <mergeCell ref="D122:O122"/>
    <mergeCell ref="D123:O123"/>
    <mergeCell ref="D124:O124"/>
    <mergeCell ref="D125:O125"/>
    <mergeCell ref="D126:O126"/>
    <mergeCell ref="D127:O127"/>
    <mergeCell ref="D128:O128"/>
    <mergeCell ref="D111:O111"/>
    <mergeCell ref="D112:O112"/>
    <mergeCell ref="D113:O113"/>
    <mergeCell ref="D114:O114"/>
    <mergeCell ref="D115:O115"/>
    <mergeCell ref="D116:O116"/>
    <mergeCell ref="D117:O117"/>
    <mergeCell ref="D118:O118"/>
    <mergeCell ref="D119:O119"/>
    <mergeCell ref="D102:O102"/>
    <mergeCell ref="D103:O103"/>
    <mergeCell ref="D104:O104"/>
    <mergeCell ref="D105:O105"/>
    <mergeCell ref="D106:O106"/>
    <mergeCell ref="D107:O107"/>
    <mergeCell ref="D108:O108"/>
    <mergeCell ref="D109:O109"/>
    <mergeCell ref="D110:O110"/>
    <mergeCell ref="A93:B93"/>
    <mergeCell ref="D95:O95"/>
    <mergeCell ref="D96:O96"/>
    <mergeCell ref="D97:O97"/>
    <mergeCell ref="D98:O98"/>
    <mergeCell ref="D99:O99"/>
    <mergeCell ref="D100:O100"/>
    <mergeCell ref="D101:O101"/>
    <mergeCell ref="B86:R86"/>
    <mergeCell ref="A88:C88"/>
    <mergeCell ref="D88:I88"/>
    <mergeCell ref="K88:M88"/>
    <mergeCell ref="N88:S88"/>
    <mergeCell ref="A62:G62"/>
    <mergeCell ref="L91:N91"/>
    <mergeCell ref="P91:R91"/>
    <mergeCell ref="A80:M80"/>
    <mergeCell ref="N80:S80"/>
    <mergeCell ref="A77:S77"/>
    <mergeCell ref="A78:S78"/>
    <mergeCell ref="A79:S79"/>
    <mergeCell ref="A81:S83"/>
    <mergeCell ref="A84:S84"/>
    <mergeCell ref="I71:J71"/>
    <mergeCell ref="I75:J75"/>
    <mergeCell ref="I74:J74"/>
    <mergeCell ref="A75:H75"/>
    <mergeCell ref="L75:S75"/>
    <mergeCell ref="A91:D91"/>
    <mergeCell ref="I70:J70"/>
    <mergeCell ref="L70:S71"/>
    <mergeCell ref="H55:K55"/>
    <mergeCell ref="A69:H69"/>
    <mergeCell ref="A74:H74"/>
    <mergeCell ref="L74:S74"/>
    <mergeCell ref="D57:G57"/>
    <mergeCell ref="D61:G61"/>
    <mergeCell ref="A59:C61"/>
    <mergeCell ref="A56:C57"/>
    <mergeCell ref="L59:S59"/>
    <mergeCell ref="L60:S60"/>
    <mergeCell ref="L61:S61"/>
    <mergeCell ref="A64:S64"/>
    <mergeCell ref="A68:S68"/>
    <mergeCell ref="H58:K58"/>
    <mergeCell ref="H59:K59"/>
    <mergeCell ref="F72:H72"/>
    <mergeCell ref="H60:K60"/>
    <mergeCell ref="H61:K61"/>
    <mergeCell ref="I72:J72"/>
    <mergeCell ref="G65:H65"/>
    <mergeCell ref="G66:H66"/>
    <mergeCell ref="H62:K62"/>
    <mergeCell ref="L62:S62"/>
    <mergeCell ref="A40:S40"/>
    <mergeCell ref="L54:S54"/>
    <mergeCell ref="L56:S56"/>
    <mergeCell ref="D56:G56"/>
    <mergeCell ref="L57:S57"/>
    <mergeCell ref="AY26:AZ26"/>
    <mergeCell ref="AY27:AZ27"/>
    <mergeCell ref="AY28:AZ28"/>
    <mergeCell ref="AV10:AV20"/>
    <mergeCell ref="AY14:AZ14"/>
    <mergeCell ref="AY15:AZ15"/>
    <mergeCell ref="AW14:AW16"/>
    <mergeCell ref="AW17:AW19"/>
    <mergeCell ref="A29:S29"/>
    <mergeCell ref="A38:S38"/>
    <mergeCell ref="A39:S39"/>
    <mergeCell ref="M26:S26"/>
    <mergeCell ref="M27:S27"/>
    <mergeCell ref="A27:C27"/>
    <mergeCell ref="G27:H27"/>
    <mergeCell ref="D26:F26"/>
    <mergeCell ref="M24:S24"/>
    <mergeCell ref="I23:J23"/>
    <mergeCell ref="D25:F25"/>
    <mergeCell ref="BE22:BF22"/>
    <mergeCell ref="BE24:BF24"/>
    <mergeCell ref="AW23:AW25"/>
    <mergeCell ref="AY25:AZ25"/>
    <mergeCell ref="BE27:BF27"/>
    <mergeCell ref="AS16:AT16"/>
    <mergeCell ref="AW20:AW22"/>
    <mergeCell ref="W19:W21"/>
    <mergeCell ref="W22:W24"/>
    <mergeCell ref="AV9:AZ9"/>
    <mergeCell ref="AY17:AZ17"/>
    <mergeCell ref="AY20:AZ20"/>
    <mergeCell ref="AY23:AZ23"/>
    <mergeCell ref="AY18:AZ18"/>
    <mergeCell ref="AY21:AZ21"/>
    <mergeCell ref="AY24:AZ24"/>
    <mergeCell ref="AY19:AZ19"/>
    <mergeCell ref="AY22:AZ22"/>
    <mergeCell ref="AY10:AZ10"/>
    <mergeCell ref="AY11:AZ11"/>
    <mergeCell ref="AY12:AZ12"/>
    <mergeCell ref="AY13:AZ13"/>
    <mergeCell ref="AY16:AZ16"/>
    <mergeCell ref="V2:W2"/>
    <mergeCell ref="M25:S25"/>
    <mergeCell ref="D27:F27"/>
    <mergeCell ref="G25:H25"/>
    <mergeCell ref="I25:J25"/>
    <mergeCell ref="G26:H26"/>
    <mergeCell ref="M22:S23"/>
    <mergeCell ref="I26:J26"/>
    <mergeCell ref="T22:T23"/>
    <mergeCell ref="I22:J22"/>
    <mergeCell ref="K22:L22"/>
    <mergeCell ref="Q19:R19"/>
    <mergeCell ref="K23:L23"/>
    <mergeCell ref="K18:M19"/>
    <mergeCell ref="E19:F19"/>
    <mergeCell ref="E18:F18"/>
    <mergeCell ref="V15:V18"/>
    <mergeCell ref="V25:V27"/>
    <mergeCell ref="I27:J27"/>
    <mergeCell ref="W16:W18"/>
    <mergeCell ref="K24:L24"/>
    <mergeCell ref="K25:L25"/>
    <mergeCell ref="K26:L26"/>
    <mergeCell ref="K27:L27"/>
    <mergeCell ref="I24:J24"/>
    <mergeCell ref="G22:H22"/>
    <mergeCell ref="G23:H23"/>
    <mergeCell ref="A21:S21"/>
    <mergeCell ref="AS25:AT25"/>
    <mergeCell ref="V22:V24"/>
    <mergeCell ref="Z22:Z24"/>
    <mergeCell ref="AC22:AC24"/>
    <mergeCell ref="G24:H24"/>
    <mergeCell ref="D22:F23"/>
    <mergeCell ref="D24:F24"/>
    <mergeCell ref="AS22:AT22"/>
    <mergeCell ref="AP23:AP28"/>
    <mergeCell ref="AS23:AT23"/>
    <mergeCell ref="AS24:AT24"/>
    <mergeCell ref="Z25:Z27"/>
    <mergeCell ref="AC25:AC27"/>
    <mergeCell ref="A24:C24"/>
    <mergeCell ref="A25:C25"/>
    <mergeCell ref="A26:C26"/>
    <mergeCell ref="W25:W27"/>
    <mergeCell ref="Z19:Z21"/>
    <mergeCell ref="A1:S3"/>
    <mergeCell ref="A4:S4"/>
    <mergeCell ref="B6:R6"/>
    <mergeCell ref="Q16:R16"/>
    <mergeCell ref="Q17:R17"/>
    <mergeCell ref="A8:C8"/>
    <mergeCell ref="K10:M10"/>
    <mergeCell ref="D8:I8"/>
    <mergeCell ref="D10:I10"/>
    <mergeCell ref="D12:I12"/>
    <mergeCell ref="N8:S8"/>
    <mergeCell ref="N12:S12"/>
    <mergeCell ref="N10:S10"/>
    <mergeCell ref="K12:M12"/>
    <mergeCell ref="G16:H16"/>
    <mergeCell ref="K8:M8"/>
    <mergeCell ref="A16:C16"/>
    <mergeCell ref="AA6:AC6"/>
    <mergeCell ref="AP12:AP18"/>
    <mergeCell ref="AI14:AL14"/>
    <mergeCell ref="AC19:AC21"/>
    <mergeCell ref="O19:P19"/>
    <mergeCell ref="A17:C19"/>
    <mergeCell ref="E17:F17"/>
    <mergeCell ref="G19:H19"/>
    <mergeCell ref="O18:P18"/>
    <mergeCell ref="A10:C10"/>
    <mergeCell ref="A12:C12"/>
    <mergeCell ref="Q18:R18"/>
    <mergeCell ref="G17:H17"/>
    <mergeCell ref="G18:H18"/>
    <mergeCell ref="K16:M17"/>
    <mergeCell ref="A15:S15"/>
    <mergeCell ref="Z16:Z18"/>
    <mergeCell ref="AC16:AC18"/>
    <mergeCell ref="A41:S41"/>
    <mergeCell ref="A42:M42"/>
    <mergeCell ref="N42:S42"/>
    <mergeCell ref="A43:S45"/>
    <mergeCell ref="V4:AC4"/>
    <mergeCell ref="AE4:AF4"/>
    <mergeCell ref="AI28:AL28"/>
    <mergeCell ref="AP10:AT10"/>
    <mergeCell ref="AM14:AN14"/>
    <mergeCell ref="AP19:AP22"/>
    <mergeCell ref="AS12:AT12"/>
    <mergeCell ref="AS13:AT13"/>
    <mergeCell ref="AS14:AT14"/>
    <mergeCell ref="AS15:AT15"/>
    <mergeCell ref="AS18:AT18"/>
    <mergeCell ref="AS19:AT19"/>
    <mergeCell ref="AS20:AT20"/>
    <mergeCell ref="AS21:AT21"/>
    <mergeCell ref="X5:Z5"/>
    <mergeCell ref="AA5:AC5"/>
    <mergeCell ref="V5:W6"/>
    <mergeCell ref="V19:V21"/>
    <mergeCell ref="V14:AF14"/>
    <mergeCell ref="X6:Z6"/>
    <mergeCell ref="A46:S46"/>
    <mergeCell ref="B48:R48"/>
    <mergeCell ref="A50:C50"/>
    <mergeCell ref="D50:I50"/>
    <mergeCell ref="K50:M50"/>
    <mergeCell ref="N50:S50"/>
    <mergeCell ref="A53:S53"/>
    <mergeCell ref="I65:J65"/>
    <mergeCell ref="I69:J69"/>
    <mergeCell ref="I66:J66"/>
    <mergeCell ref="L58:S58"/>
    <mergeCell ref="H56:K56"/>
    <mergeCell ref="H57:K57"/>
    <mergeCell ref="A54:G54"/>
    <mergeCell ref="H54:K54"/>
    <mergeCell ref="A58:G58"/>
    <mergeCell ref="D59:G59"/>
    <mergeCell ref="D60:G60"/>
    <mergeCell ref="A65:F66"/>
    <mergeCell ref="L65:S65"/>
    <mergeCell ref="L66:S66"/>
    <mergeCell ref="L69:S69"/>
    <mergeCell ref="A55:G55"/>
    <mergeCell ref="L55:S55"/>
  </mergeCells>
  <conditionalFormatting sqref="G18:H18">
    <cfRule type="cellIs" dxfId="11" priority="24" operator="greaterThan">
      <formula>3000</formula>
    </cfRule>
  </conditionalFormatting>
  <conditionalFormatting sqref="G24:H27">
    <cfRule type="expression" dxfId="10" priority="13">
      <formula>$U24="nein"</formula>
    </cfRule>
  </conditionalFormatting>
  <conditionalFormatting sqref="G19:H19">
    <cfRule type="cellIs" dxfId="9" priority="12" operator="lessThan">
      <formula>$G$18</formula>
    </cfRule>
  </conditionalFormatting>
  <conditionalFormatting sqref="I26:J26">
    <cfRule type="cellIs" dxfId="8" priority="117" operator="notBetween">
      <formula>$AE$23</formula>
      <formula>$AE$24</formula>
    </cfRule>
  </conditionalFormatting>
  <conditionalFormatting sqref="I27:J27">
    <cfRule type="cellIs" dxfId="7" priority="118" operator="notBetween">
      <formula>$AE$26</formula>
      <formula>$AE$27</formula>
    </cfRule>
  </conditionalFormatting>
  <conditionalFormatting sqref="I25:J25">
    <cfRule type="cellIs" dxfId="6" priority="119" operator="notBetween">
      <formula>$AE$20</formula>
      <formula>$AE$21</formula>
    </cfRule>
  </conditionalFormatting>
  <conditionalFormatting sqref="I66:J66">
    <cfRule type="cellIs" dxfId="5" priority="6" operator="notBetween">
      <formula>$I$65-5</formula>
      <formula>$I$65</formula>
    </cfRule>
  </conditionalFormatting>
  <conditionalFormatting sqref="K25">
    <cfRule type="expression" dxfId="4" priority="120">
      <formula>($K$25+$Y$2+$Q$17+$G$25)&gt;3000</formula>
    </cfRule>
  </conditionalFormatting>
  <conditionalFormatting sqref="K26:L26">
    <cfRule type="expression" dxfId="3" priority="121">
      <formula>($K$26+$Y$2+$Q$17+$G$26)&gt;3000</formula>
    </cfRule>
  </conditionalFormatting>
  <conditionalFormatting sqref="K27:L27">
    <cfRule type="expression" dxfId="2" priority="122">
      <formula>($K$27+$Y$2+$Q$17+$G$27)&gt;3000</formula>
    </cfRule>
  </conditionalFormatting>
  <conditionalFormatting sqref="I70:J70">
    <cfRule type="expression" priority="4">
      <formula>ROUND(I70/5,1)*5</formula>
    </cfRule>
  </conditionalFormatting>
  <conditionalFormatting sqref="I73:J73">
    <cfRule type="expression" dxfId="0" priority="1">
      <formula>$I$72&gt;0</formula>
    </cfRule>
  </conditionalFormatting>
  <conditionalFormatting sqref="I72:J72">
    <cfRule type="expression" dxfId="1" priority="2">
      <formula>$I$73&gt;0</formula>
    </cfRule>
  </conditionalFormatting>
  <dataValidations count="17">
    <dataValidation type="list" allowBlank="1" showInputMessage="1" sqref="D24:F27" xr:uid="{00000000-0002-0000-0000-000000000000}">
      <formula1>Material</formula1>
    </dataValidation>
    <dataValidation type="list" allowBlank="1" showInputMessage="1" showErrorMessage="1" error="Diese Bauhöhe ist leider nicht verfügbar." sqref="G19:H19" xr:uid="{00000000-0002-0000-0000-000001000000}">
      <formula1>Hoehe</formula1>
    </dataValidation>
    <dataValidation type="whole" allowBlank="1" showInputMessage="1" showErrorMessage="1" error="Bitte geben Sie nur gültige Abwinklungen ein." sqref="I26:J27" xr:uid="{00000000-0002-0000-0000-000002000000}">
      <formula1>0</formula1>
      <formula2>400</formula2>
    </dataValidation>
    <dataValidation type="list" allowBlank="1" showInputMessage="1" showErrorMessage="1" sqref="G24:H27" xr:uid="{00000000-0002-0000-0000-000003000000}">
      <formula1>DNdR1000</formula1>
    </dataValidation>
    <dataValidation type="decimal" allowBlank="1" showInputMessage="1" showErrorMessage="1" errorTitle="Gesamttiefe unzulässig" error="Die lichte Schachttiefe beträgt zw. 0,7 und 6 Metern." sqref="I65:J65" xr:uid="{5CE530BD-9501-4AC7-81B6-6F41CAAF497C}">
      <formula1>70</formula1>
      <formula2>1500</formula2>
    </dataValidation>
    <dataValidation type="list" allowBlank="1" showInputMessage="1" showErrorMessage="1" error="Diese Bauhöhe ist leider nicht verfügbar." sqref="I72:J72" xr:uid="{2AE2125A-181D-4B81-90A5-23E2AC1494CF}">
      <formula1>Schachthals</formula1>
    </dataValidation>
    <dataValidation type="list" allowBlank="1" showInputMessage="1" showErrorMessage="1" sqref="I74:J74" xr:uid="{5C775AF3-8FE4-42C3-BDF5-258CC432D66A}">
      <formula1>HoeheAR</formula1>
    </dataValidation>
    <dataValidation type="list" allowBlank="1" showInputMessage="1" showErrorMessage="1" sqref="H58" xr:uid="{C765FF89-AC93-4CAD-946B-F57368DB19D0}">
      <formula1>Dichtsystem</formula1>
    </dataValidation>
    <dataValidation type="list" allowBlank="1" showInputMessage="1" showErrorMessage="1" sqref="H59:K59" xr:uid="{1C375E06-1F27-464C-8556-151DF3844553}">
      <formula1>Steigsystem</formula1>
    </dataValidation>
    <dataValidation type="list" allowBlank="1" showInputMessage="1" showErrorMessage="1" sqref="H60:K60" xr:uid="{1064CC15-0D75-4EAB-A786-12849528F68E}">
      <formula1>INDIRECT(H59)</formula1>
    </dataValidation>
    <dataValidation type="list" allowBlank="1" showInputMessage="1" showErrorMessage="1" sqref="H61:K61" xr:uid="{574CAC25-DFFC-4708-8372-B55325A2F462}">
      <formula1>"Stahl, Edelstahl"</formula1>
    </dataValidation>
    <dataValidation type="list" allowBlank="1" showInputMessage="1" showErrorMessage="1" sqref="H54 H56" xr:uid="{F396D449-0A97-4ACD-A47A-8ED629026E4C}">
      <formula1>"Regenwasser,Schmutzwasser,Mischwasser"</formula1>
    </dataValidation>
    <dataValidation type="list" allowBlank="1" showInputMessage="1" showErrorMessage="1" sqref="H57" xr:uid="{3C4B3162-A683-4D8B-9CF3-E1E4F93DFEF7}">
      <formula1>"C 40/50,C 50/60,C 60/75"</formula1>
    </dataValidation>
    <dataValidation type="list" allowBlank="1" showInputMessage="1" showErrorMessage="1" sqref="H55" xr:uid="{04875CB6-EB30-42A9-8156-F840AD597EE8}">
      <mc:AlternateContent xmlns:x12ac="http://schemas.microsoft.com/office/spreadsheetml/2011/1/ac" xmlns:mc="http://schemas.openxmlformats.org/markup-compatibility/2006">
        <mc:Choice Requires="x12ac">
          <x12ac:list>"62,5 cm", 80 cm</x12ac:list>
        </mc:Choice>
        <mc:Fallback>
          <formula1>"62,5 cm, 80 cm"</formula1>
        </mc:Fallback>
      </mc:AlternateContent>
    </dataValidation>
    <dataValidation type="list" allowBlank="1" showInputMessage="1" showErrorMessage="1" sqref="H62:K62" xr:uid="{2C009095-47E7-4CCB-A43D-B91D466171FA}">
      <formula1>"eingezogener Einstieg, gerader Einstieg"</formula1>
    </dataValidation>
    <dataValidation type="list" allowBlank="1" showInputMessage="1" showErrorMessage="1" sqref="G70:G72" xr:uid="{52E523D7-A29B-4DF3-B5A8-C15231A3CB6E}">
      <formula1>"0, 1, 2, 3, 4, 5, 6, 7, 8, 9, 10, 11, 12,13, 14, 15"</formula1>
    </dataValidation>
    <dataValidation type="list" allowBlank="1" showInputMessage="1" showErrorMessage="1" error="Diese Bauhöhe ist leider nicht verfügbar." sqref="I73:J73" xr:uid="{345DD19F-4C37-4B87-B77A-634FACD78561}">
      <formula1>Abdeckplatte</formula1>
    </dataValidation>
  </dataValidations>
  <hyperlinks>
    <hyperlink ref="N42" r:id="rId1" xr:uid="{2D471766-BF4C-4256-A712-F8828C660F86}"/>
    <hyperlink ref="N80" r:id="rId2" xr:uid="{35A6820F-AFDE-43A7-8C28-25F1AE14F764}"/>
    <hyperlink ref="N144" r:id="rId3" xr:uid="{5EBFFE23-2538-461C-B44B-D81DBCF368DC}"/>
  </hyperlinks>
  <printOptions horizontalCentered="1"/>
  <pageMargins left="0.39370078740157483" right="0.39370078740157483" top="0" bottom="0" header="0" footer="0"/>
  <pageSetup paperSize="9" scale="83" fitToHeight="0" orientation="portrait" r:id="rId4"/>
  <rowBreaks count="1" manualBreakCount="1">
    <brk id="42" max="18" man="1"/>
  </rowBreaks>
  <colBreaks count="1" manualBreakCount="1">
    <brk id="12" max="141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9E0C2-5C3A-4728-BEE3-0150FE491C47}">
  <dimension ref="A1:B50"/>
  <sheetViews>
    <sheetView topLeftCell="C23" workbookViewId="0">
      <selection activeCell="A23" sqref="A1:B1048576"/>
    </sheetView>
  </sheetViews>
  <sheetFormatPr baseColWidth="10" defaultRowHeight="15" x14ac:dyDescent="0.25"/>
  <cols>
    <col min="1" max="2" width="58.7109375" hidden="1" customWidth="1"/>
  </cols>
  <sheetData>
    <row r="1" spans="1:2" x14ac:dyDescent="0.25">
      <c r="A1" s="206" t="s">
        <v>133</v>
      </c>
      <c r="B1" s="206" t="s">
        <v>190</v>
      </c>
    </row>
    <row r="3" spans="1:2" x14ac:dyDescent="0.25">
      <c r="A3" s="205" t="str">
        <f>"Schmutzwasserschacht DN "&amp;Schacht_DN_1000!G16</f>
        <v>Schmutzwasserschacht DN 1000</v>
      </c>
      <c r="B3" s="205" t="str">
        <f>"Regenwasserschacht DN "&amp;Schacht_DN_1000!G16</f>
        <v>Regenwasserschacht DN 1000</v>
      </c>
    </row>
    <row r="4" spans="1:2" x14ac:dyDescent="0.25">
      <c r="A4" s="196" t="str">
        <f>"Typ 2 nach DIN EN 1917, DIN 4034-1, FBS-Qualitätsrichtlinie"</f>
        <v>Typ 2 nach DIN EN 1917, DIN 4034-1, FBS-Qualitätsrichtlinie</v>
      </c>
      <c r="B4" s="196" t="str">
        <f t="shared" ref="B4:B40" si="0">A4</f>
        <v>Typ 2 nach DIN EN 1917, DIN 4034-1, FBS-Qualitätsrichtlinie</v>
      </c>
    </row>
    <row r="5" spans="1:2" x14ac:dyDescent="0.25">
      <c r="A5" s="196" t="str">
        <f>"sowie den nachfolgenden Anforderungen herstellen, liefern und"</f>
        <v>sowie den nachfolgenden Anforderungen herstellen, liefern und</v>
      </c>
      <c r="B5" s="196" t="str">
        <f t="shared" si="0"/>
        <v>sowie den nachfolgenden Anforderungen herstellen, liefern und</v>
      </c>
    </row>
    <row r="6" spans="1:2" x14ac:dyDescent="0.25">
      <c r="A6" s="196" t="str">
        <f>"wasserdicht nach Arbeitsblatt DWA-A 139, DIN EN 1610 und DIN"</f>
        <v>wasserdicht nach Arbeitsblatt DWA-A 139, DIN EN 1610 und DIN</v>
      </c>
      <c r="B6" s="196" t="str">
        <f t="shared" si="0"/>
        <v>wasserdicht nach Arbeitsblatt DWA-A 139, DIN EN 1610 und DIN</v>
      </c>
    </row>
    <row r="7" spans="1:2" x14ac:dyDescent="0.25">
      <c r="A7" s="196" t="str">
        <f>"18306 versetzen."</f>
        <v>18306 versetzen.</v>
      </c>
      <c r="B7" s="196" t="str">
        <f t="shared" si="0"/>
        <v>18306 versetzen.</v>
      </c>
    </row>
    <row r="8" spans="1:2" x14ac:dyDescent="0.25">
      <c r="A8" s="196" t="str">
        <f>""</f>
        <v/>
      </c>
      <c r="B8" s="196" t="str">
        <f t="shared" si="0"/>
        <v/>
      </c>
    </row>
    <row r="9" spans="1:2" x14ac:dyDescent="0.25">
      <c r="A9" s="196" t="str">
        <f>"Das Schachtunterteil ist einschließlich Gerinne,"</f>
        <v>Das Schachtunterteil ist einschließlich Gerinne,</v>
      </c>
      <c r="B9" s="196" t="str">
        <f t="shared" si="0"/>
        <v>Das Schachtunterteil ist einschließlich Gerinne,</v>
      </c>
    </row>
    <row r="10" spans="1:2" x14ac:dyDescent="0.25">
      <c r="A10" s="196" t="str">
        <f>"Berme und Auftrittsfläche monolithisch mit den"</f>
        <v>Berme und Auftrittsfläche monolithisch mit den</v>
      </c>
      <c r="B10" s="196" t="str">
        <f t="shared" si="0"/>
        <v>Berme und Auftrittsfläche monolithisch mit den</v>
      </c>
    </row>
    <row r="11" spans="1:2" x14ac:dyDescent="0.25">
      <c r="A11" s="196" t="str">
        <f>"folgenden zusätzlichen Anforderungen herzustellen:"</f>
        <v>folgenden zusätzlichen Anforderungen herzustellen:</v>
      </c>
      <c r="B11" s="196" t="str">
        <f t="shared" si="0"/>
        <v>folgenden zusätzlichen Anforderungen herzustellen:</v>
      </c>
    </row>
    <row r="12" spans="1:2" x14ac:dyDescent="0.25">
      <c r="A12" s="196" t="str">
        <f>"• Systemzertifizierung nach ISO 9001"</f>
        <v>• Systemzertifizierung nach ISO 9001</v>
      </c>
      <c r="B12" s="196" t="str">
        <f t="shared" si="0"/>
        <v>• Systemzertifizierung nach ISO 9001</v>
      </c>
    </row>
    <row r="13" spans="1:2" x14ac:dyDescent="0.25">
      <c r="A13" s="196" t="str">
        <f>"• Produktzertifizierung nach FBS-Qualitätsrichtlinie"</f>
        <v>• Produktzertifizierung nach FBS-Qualitätsrichtlinie</v>
      </c>
      <c r="B13" s="196" t="str">
        <f t="shared" si="0"/>
        <v>• Produktzertifizierung nach FBS-Qualitätsrichtlinie</v>
      </c>
    </row>
    <row r="14" spans="1:2" x14ac:dyDescent="0.25">
      <c r="A14" s="196" t="str">
        <f>"• in der Schalung erhärtet"</f>
        <v>• in der Schalung erhärtet</v>
      </c>
      <c r="B14" s="196" t="str">
        <f t="shared" si="0"/>
        <v>• in der Schalung erhärtet</v>
      </c>
    </row>
    <row r="15" spans="1:2" x14ac:dyDescent="0.25">
      <c r="A15" s="196" t="str">
        <f>"• homogene, glatte und porenarme Oberfläche"</f>
        <v>• homogene, glatte und porenarme Oberfläche</v>
      </c>
      <c r="B15" s="196" t="str">
        <f t="shared" si="0"/>
        <v>• homogene, glatte und porenarme Oberfläche</v>
      </c>
    </row>
    <row r="16" spans="1:2" x14ac:dyDescent="0.25">
      <c r="A16" s="196" t="str">
        <f>"• formschlüssige Lastaufnahmepunkte nach Arbeitsblatt DWA-A 139"</f>
        <v>• formschlüssige Lastaufnahmepunkte nach Arbeitsblatt DWA-A 139</v>
      </c>
      <c r="B16" s="196" t="str">
        <f t="shared" si="0"/>
        <v>• formschlüssige Lastaufnahmepunkte nach Arbeitsblatt DWA-A 139</v>
      </c>
    </row>
    <row r="17" spans="1:2" x14ac:dyDescent="0.25">
      <c r="A17" s="196" t="str">
        <f>""</f>
        <v/>
      </c>
      <c r="B17" s="196" t="str">
        <f t="shared" si="0"/>
        <v/>
      </c>
    </row>
    <row r="18" spans="1:2" x14ac:dyDescent="0.25">
      <c r="A18" s="196" t="str">
        <f>"Zu- &amp; Abläufe:"</f>
        <v>Zu- &amp; Abläufe:</v>
      </c>
      <c r="B18" s="196" t="str">
        <f t="shared" si="0"/>
        <v>Zu- &amp; Abläufe:</v>
      </c>
    </row>
    <row r="19" spans="1:2" x14ac:dyDescent="0.25">
      <c r="A19" s="196" t="str">
        <f>IF(Schacht_DN_1000!G24="","Ablauf entfällt","• Ablauf  DN "&amp;Schacht_DN_1000!G24&amp;" aus "&amp;Schacht_DN_1000!D24&amp;" auf Position "&amp;Schacht_DN_1000!I24&amp;" gon")</f>
        <v>Ablauf entfällt</v>
      </c>
      <c r="B19" s="196" t="str">
        <f t="shared" si="0"/>
        <v>Ablauf entfällt</v>
      </c>
    </row>
    <row r="20" spans="1:2" x14ac:dyDescent="0.25">
      <c r="A20" s="196" t="str">
        <f>IF(Schacht_DN_1000!G25="","Zulauf 1 entfällt","• Zulauf 1 DN "&amp;Schacht_DN_1000!G25&amp;" aus "&amp;Schacht_DN_1000!D25&amp;" auf Position "&amp;Schacht_DN_1000!I25&amp;" gon")</f>
        <v>Zulauf 1 entfällt</v>
      </c>
      <c r="B20" s="196" t="str">
        <f t="shared" si="0"/>
        <v>Zulauf 1 entfällt</v>
      </c>
    </row>
    <row r="21" spans="1:2" x14ac:dyDescent="0.25">
      <c r="A21" s="196" t="str">
        <f>IF(Schacht_DN_1000!G26="","Zulauf 2 entfällt","• Zulauf 2 DN "&amp;Schacht_DN_1000!G26&amp;" aus "&amp;Schacht_DN_1000!D26&amp;" auf Position "&amp;Schacht_DN_1000!I26&amp;" gon")</f>
        <v>Zulauf 2 entfällt</v>
      </c>
      <c r="B21" s="196" t="str">
        <f t="shared" si="0"/>
        <v>Zulauf 2 entfällt</v>
      </c>
    </row>
    <row r="22" spans="1:2" x14ac:dyDescent="0.25">
      <c r="A22" s="196" t="str">
        <f>IF(Schacht_DN_1000!G27="","Zulauf 3 entfällt","• Zulauf 3 DN "&amp;Schacht_DN_1000!G27&amp;" aus "&amp;Schacht_DN_1000!D27&amp;" auf Position "&amp;Schacht_DN_1000!I27&amp;" gon")</f>
        <v>Zulauf 3 entfällt</v>
      </c>
      <c r="B22" s="196" t="str">
        <f t="shared" si="0"/>
        <v>Zulauf 3 entfällt</v>
      </c>
    </row>
    <row r="23" spans="1:2" x14ac:dyDescent="0.25">
      <c r="B23" s="196"/>
    </row>
    <row r="24" spans="1:2" x14ac:dyDescent="0.25">
      <c r="A24" s="196" t="s">
        <v>5</v>
      </c>
      <c r="B24" s="196" t="str">
        <f t="shared" si="0"/>
        <v>Schachtunterteil:</v>
      </c>
    </row>
    <row r="25" spans="1:2" x14ac:dyDescent="0.25">
      <c r="A25" s="196" t="str">
        <f>"• Wandstärke: "&amp;Schacht_DN_1000!Q16&amp;" mm "</f>
        <v xml:space="preserve">• Wandstärke: 150 mm </v>
      </c>
      <c r="B25" s="196" t="str">
        <f t="shared" si="0"/>
        <v xml:space="preserve">• Wandstärke: 150 mm </v>
      </c>
    </row>
    <row r="26" spans="1:2" x14ac:dyDescent="0.25">
      <c r="A26" s="196" t="str">
        <f>"• Nennweite: DN "&amp;Schacht_DN_1000!G16</f>
        <v>• Nennweite: DN 1000</v>
      </c>
      <c r="B26" s="196" t="str">
        <f t="shared" si="0"/>
        <v>• Nennweite: DN 1000</v>
      </c>
    </row>
    <row r="27" spans="1:2" x14ac:dyDescent="0.25">
      <c r="A27" s="196" t="str">
        <f>"• Bauhöhe: "&amp;Schacht_DN_1000!G19&amp;" mm"</f>
        <v>• Bauhöhe: 700 mm</v>
      </c>
      <c r="B27" s="196" t="str">
        <f t="shared" si="0"/>
        <v>• Bauhöhe: 700 mm</v>
      </c>
    </row>
    <row r="28" spans="1:2" x14ac:dyDescent="0.25">
      <c r="A28" s="196"/>
      <c r="B28" s="196"/>
    </row>
    <row r="29" spans="1:2" x14ac:dyDescent="0.25">
      <c r="A29" s="196" t="s">
        <v>132</v>
      </c>
      <c r="B29" s="196" t="str">
        <f t="shared" si="0"/>
        <v>Schachtaufbau:</v>
      </c>
    </row>
    <row r="30" spans="1:2" x14ac:dyDescent="0.25">
      <c r="A30" s="196" t="str">
        <f>"• lichte Schachttiefe gesamt: ca. "&amp;Schacht_DN_1000!I65&amp;" cm"</f>
        <v>• lichte Schachttiefe gesamt: ca. 300 cm</v>
      </c>
      <c r="B30" s="196" t="str">
        <f t="shared" si="0"/>
        <v>• lichte Schachttiefe gesamt: ca. 300 cm</v>
      </c>
    </row>
    <row r="31" spans="1:2" x14ac:dyDescent="0.25">
      <c r="A31" s="196" t="str">
        <f>IF(Schacht_DN_1000!I71="","ohne SR-M","• Gesamthöhe Schachtringe: "&amp;(Schacht_DN_1000!I71)&amp;" cm")</f>
        <v>• Gesamthöhe Schachtringe: 100 cm</v>
      </c>
      <c r="B31" s="196" t="str">
        <f t="shared" si="0"/>
        <v>• Gesamthöhe Schachtringe: 100 cm</v>
      </c>
    </row>
    <row r="32" spans="1:2" x14ac:dyDescent="0.25">
      <c r="A32" s="196" t="str">
        <f>IF(Schacht_DN_1000!F72="","ohne AP-M/SH-M",IF(Schacht_DN_1000!F72="Schachthals","• Schachthals ("&amp;Schacht_DN_1000!H62&amp;") und Bauhöhe "&amp;Schacht_DN_1000!I72&amp;" cm",IF(Schacht_DN_1000!F72="Abdeckplatte","• Abdeckplatte mit Bauhöhe "&amp;Schacht_DN_1000!I72&amp;" cm")))</f>
        <v>• Schachthals (eingezogener Einstieg) und Bauhöhe 60 cm</v>
      </c>
      <c r="B32" s="196" t="str">
        <f t="shared" si="0"/>
        <v>• Schachthals (eingezogener Einstieg) und Bauhöhe 60 cm</v>
      </c>
    </row>
    <row r="33" spans="1:2" x14ac:dyDescent="0.25">
      <c r="B33" s="196"/>
    </row>
    <row r="34" spans="1:2" x14ac:dyDescent="0.25">
      <c r="A34" s="196" t="str">
        <f>"Dichtsystem:"</f>
        <v>Dichtsystem:</v>
      </c>
      <c r="B34" s="196" t="str">
        <f t="shared" si="0"/>
        <v>Dichtsystem:</v>
      </c>
    </row>
    <row r="35" spans="1:2" x14ac:dyDescent="0.25">
      <c r="A35" s="196" t="str">
        <f>"• Dichtungssystem nach DIN EN 681-1, DIN 4060 und FBS"</f>
        <v>• Dichtungssystem nach DIN EN 681-1, DIN 4060 und FBS</v>
      </c>
      <c r="B35" s="196" t="str">
        <f t="shared" si="0"/>
        <v>• Dichtungssystem nach DIN EN 681-1, DIN 4060 und FBS</v>
      </c>
    </row>
    <row r="36" spans="1:2" x14ac:dyDescent="0.25">
      <c r="A36" s="196" t="str">
        <f>IF(Schacht_DN_1000!H58="TOP SEAL","• Lastabtrags- und Dichtungssystem TOP SEAL (bauseitige Montage)","• integriertes Lastabtrags- und Dichtungssystem "&amp;Schacht_DN_1000!H58)</f>
        <v>• integriertes Lastabtrags- und Dichtungssystem TOP SEAL • Plus</v>
      </c>
      <c r="B36" s="196" t="str">
        <f t="shared" si="0"/>
        <v>• integriertes Lastabtrags- und Dichtungssystem TOP SEAL • Plus</v>
      </c>
    </row>
    <row r="37" spans="1:2" x14ac:dyDescent="0.25">
      <c r="A37" s="196" t="str">
        <f>IF(Schacht_DN_1000!H59="","ohne Steighilfen;",IF(Schacht_DN_1000!H59="Steigbügel","• Steiggänge aus Steighilfen nach DIN 19555",IF(Schacht_DN_1000!H59="Steigleiter","• Steigleiter aus Edelstahl")))</f>
        <v>• Steiggänge aus Steighilfen nach DIN 19555</v>
      </c>
      <c r="B37" s="196" t="str">
        <f t="shared" si="0"/>
        <v>• Steiggänge aus Steighilfen nach DIN 19555</v>
      </c>
    </row>
    <row r="38" spans="1:2" x14ac:dyDescent="0.25">
      <c r="A38" s="196" t="str">
        <f>IF(Schacht_DN_1000!H59="","",IF(Schacht_DN_1000!H59="Steigbügel","  in "&amp;Schacht_DN_1000!H60&amp;" mit "&amp;Schacht_DN_1000!H61&amp;"kern und PE-ummantelt",IF(Schacht_DN_1000!H59="Steigleiter","")))</f>
        <v xml:space="preserve">  in Form B mit Edelstahlkern und PE-ummantelt</v>
      </c>
      <c r="B38" s="196" t="str">
        <f t="shared" si="0"/>
        <v xml:space="preserve">  in Form B mit Edelstahlkern und PE-ummantelt</v>
      </c>
    </row>
    <row r="39" spans="1:2" x14ac:dyDescent="0.25">
      <c r="B39" s="196"/>
    </row>
    <row r="40" spans="1:2" x14ac:dyDescent="0.25">
      <c r="A40" s="196" t="str">
        <f>"Betonqualität:"</f>
        <v>Betonqualität:</v>
      </c>
      <c r="B40" s="196" t="str">
        <f t="shared" si="0"/>
        <v>Betonqualität:</v>
      </c>
    </row>
    <row r="41" spans="1:2" x14ac:dyDescent="0.25">
      <c r="A41" s="196" t="str">
        <f>"• Druckfestigkeit C 60/75"</f>
        <v>• Druckfestigkeit C 60/75</v>
      </c>
      <c r="B41" s="196" t="str">
        <f>"• Druckfestigkeit C 50/60"</f>
        <v>• Druckfestigkeit C 50/60</v>
      </c>
    </row>
    <row r="42" spans="1:2" x14ac:dyDescent="0.25">
      <c r="A42" s="196" t="str">
        <f>"• Expositionsklasse XC4, XD3, XF1, XM2, XA3"</f>
        <v>• Expositionsklasse XC4, XD3, XF1, XM2, XA3</v>
      </c>
      <c r="B42" s="196" t="str">
        <f>"• Expositionsklasse XC4, XD2, XF1, XM2, XA2"</f>
        <v>• Expositionsklasse XC4, XD2, XF1, XM2, XA2</v>
      </c>
    </row>
    <row r="43" spans="1:2" x14ac:dyDescent="0.25">
      <c r="A43" s="196" t="str">
        <f>"• Wassereindringtiefe &lt; 1 mm"</f>
        <v>• Wassereindringtiefe &lt; 1 mm</v>
      </c>
      <c r="B43" s="196" t="str">
        <f>"• Wassereindringtiefe &lt; 5 mm"</f>
        <v>• Wassereindringtiefe &lt; 5 mm</v>
      </c>
    </row>
    <row r="44" spans="1:2" x14ac:dyDescent="0.25">
      <c r="A44" s="196" t="str">
        <f>"• max. w/z Wert 0,39"</f>
        <v>• max. w/z Wert 0,39</v>
      </c>
      <c r="B44" s="196" t="str">
        <f>"• max. w/z Wert 0,42"</f>
        <v>• max. w/z Wert 0,42</v>
      </c>
    </row>
    <row r="45" spans="1:2" x14ac:dyDescent="0.25">
      <c r="A45" s="196" t="str">
        <f>"• max. Schädigungstiefe nach DIN 19573 Anhang A für"</f>
        <v>• max. Schädigungstiefe nach DIN 19573 Anhang A für</v>
      </c>
      <c r="B45" s="196"/>
    </row>
    <row r="46" spans="1:2" x14ac:dyDescent="0.25">
      <c r="A46" s="196" t="str">
        <f>"  pH 0 &lt; 5,5 mm und pH 1 &lt; 3 mm"</f>
        <v xml:space="preserve">  pH 0 &lt; 5,5 mm und pH 1 &lt; 3 mm</v>
      </c>
      <c r="B46" s="196"/>
    </row>
    <row r="47" spans="1:2" x14ac:dyDescent="0.25">
      <c r="A47" s="196" t="str">
        <f>"• max. Schädigungstiefe nach Performance-Prüfung nach ZTV-EGLV"</f>
        <v>• max. Schädigungstiefe nach Performance-Prüfung nach ZTV-EGLV</v>
      </c>
      <c r="B47" s="196"/>
    </row>
    <row r="48" spans="1:2" x14ac:dyDescent="0.25">
      <c r="A48" s="196" t="str">
        <f>"  bei pH 3,5 &lt; 1,25 mm"</f>
        <v xml:space="preserve">  bei pH 3,5 &lt; 1,25 mm</v>
      </c>
      <c r="B48" s="196"/>
    </row>
    <row r="49" spans="1:2" x14ac:dyDescent="0.25">
      <c r="A49" s="196"/>
      <c r="B49" s="201"/>
    </row>
    <row r="50" spans="1:2" x14ac:dyDescent="0.25">
      <c r="A50" s="196"/>
      <c r="B50" s="20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2"/>
  <sheetViews>
    <sheetView topLeftCell="U1" workbookViewId="0">
      <selection sqref="A1:T1048576"/>
    </sheetView>
  </sheetViews>
  <sheetFormatPr baseColWidth="10" defaultRowHeight="20.100000000000001" customHeight="1" x14ac:dyDescent="0.25"/>
  <cols>
    <col min="1" max="4" width="11.42578125" style="48" hidden="1" customWidth="1"/>
    <col min="5" max="5" width="13.140625" style="48" hidden="1" customWidth="1"/>
    <col min="6" max="16" width="11.42578125" style="48" hidden="1" customWidth="1"/>
    <col min="17" max="17" width="19.85546875" style="48" hidden="1" customWidth="1"/>
    <col min="18" max="20" width="11.42578125" style="48" hidden="1" customWidth="1"/>
    <col min="21" max="16384" width="11.42578125" style="48"/>
  </cols>
  <sheetData>
    <row r="1" spans="1:20" ht="20.100000000000001" customHeight="1" x14ac:dyDescent="0.25">
      <c r="A1" s="44" t="s">
        <v>125</v>
      </c>
      <c r="B1" s="57">
        <v>1000</v>
      </c>
      <c r="C1" s="58"/>
      <c r="E1" s="49" t="s">
        <v>12</v>
      </c>
      <c r="G1" s="49" t="s">
        <v>23</v>
      </c>
      <c r="I1" s="193" t="s">
        <v>126</v>
      </c>
      <c r="J1" s="191"/>
      <c r="K1" s="58"/>
      <c r="M1" s="49" t="s">
        <v>12</v>
      </c>
      <c r="N1" s="49" t="s">
        <v>12</v>
      </c>
      <c r="P1" s="49" t="s">
        <v>139</v>
      </c>
      <c r="Q1" s="49" t="s">
        <v>140</v>
      </c>
      <c r="R1" s="49" t="s">
        <v>144</v>
      </c>
      <c r="S1" s="49" t="s">
        <v>145</v>
      </c>
      <c r="T1" s="49" t="s">
        <v>146</v>
      </c>
    </row>
    <row r="2" spans="1:20" ht="20.100000000000001" customHeight="1" x14ac:dyDescent="0.25">
      <c r="A2" s="45" t="s">
        <v>7</v>
      </c>
      <c r="B2" s="405" t="s">
        <v>62</v>
      </c>
      <c r="C2" s="406"/>
      <c r="E2" s="51"/>
      <c r="G2" s="51"/>
      <c r="I2" s="192" t="s">
        <v>7</v>
      </c>
      <c r="J2" s="194" t="s">
        <v>127</v>
      </c>
      <c r="K2" s="53"/>
      <c r="M2" s="197" t="s">
        <v>134</v>
      </c>
      <c r="N2" s="197" t="s">
        <v>135</v>
      </c>
      <c r="P2" s="198">
        <v>6</v>
      </c>
      <c r="Q2" s="197" t="s">
        <v>141</v>
      </c>
      <c r="R2" s="197" t="s">
        <v>145</v>
      </c>
      <c r="S2" s="197" t="s">
        <v>148</v>
      </c>
      <c r="T2" s="204" t="s">
        <v>175</v>
      </c>
    </row>
    <row r="3" spans="1:20" ht="20.100000000000001" customHeight="1" x14ac:dyDescent="0.25">
      <c r="A3" s="45"/>
      <c r="B3" s="230" t="s">
        <v>63</v>
      </c>
      <c r="C3" s="50" t="s">
        <v>64</v>
      </c>
      <c r="E3" s="51">
        <v>700</v>
      </c>
      <c r="G3" s="51"/>
      <c r="I3" s="52">
        <v>0</v>
      </c>
      <c r="J3" s="54">
        <v>500</v>
      </c>
      <c r="K3" s="53">
        <f>J3-I3</f>
        <v>500</v>
      </c>
      <c r="M3" s="198"/>
      <c r="N3" s="198"/>
      <c r="P3" s="198">
        <v>8</v>
      </c>
      <c r="Q3" s="197" t="s">
        <v>142</v>
      </c>
      <c r="R3" s="197" t="s">
        <v>146</v>
      </c>
      <c r="S3" s="204" t="s">
        <v>174</v>
      </c>
    </row>
    <row r="4" spans="1:20" ht="20.100000000000001" customHeight="1" x14ac:dyDescent="0.25">
      <c r="A4" s="52" t="s">
        <v>8</v>
      </c>
      <c r="B4" s="54" t="s">
        <v>31</v>
      </c>
      <c r="C4" s="53"/>
      <c r="E4" s="40">
        <f>E3+10</f>
        <v>710</v>
      </c>
      <c r="G4" s="40" t="s">
        <v>30</v>
      </c>
      <c r="I4" s="52">
        <v>100</v>
      </c>
      <c r="J4" s="54">
        <v>500</v>
      </c>
      <c r="K4" s="53">
        <f>J4-I4</f>
        <v>400</v>
      </c>
      <c r="M4" s="198">
        <v>35</v>
      </c>
      <c r="N4" s="198">
        <v>20</v>
      </c>
      <c r="P4" s="198">
        <v>10</v>
      </c>
      <c r="Q4" s="204" t="s">
        <v>143</v>
      </c>
      <c r="R4" s="204" t="s">
        <v>147</v>
      </c>
    </row>
    <row r="5" spans="1:20" ht="20.100000000000001" customHeight="1" x14ac:dyDescent="0.25">
      <c r="A5" s="46">
        <v>100</v>
      </c>
      <c r="B5" s="42">
        <f>400/(PI()*$B$1)*(2*($B$1/2)*ASIN((A5)/$B$1))</f>
        <v>12.75371217170397</v>
      </c>
      <c r="C5" s="53">
        <f t="shared" ref="C5:C12" si="0">ROUNDUP(B5,0)+2</f>
        <v>15</v>
      </c>
      <c r="E5" s="40">
        <f t="shared" ref="E5:E68" si="1">E4+10</f>
        <v>720</v>
      </c>
      <c r="G5" s="40" t="s">
        <v>34</v>
      </c>
      <c r="I5" s="52">
        <v>150</v>
      </c>
      <c r="J5" s="54">
        <v>500</v>
      </c>
      <c r="K5" s="53">
        <f t="shared" ref="K5:K11" si="2">J5-I5</f>
        <v>350</v>
      </c>
      <c r="M5" s="198">
        <v>60</v>
      </c>
      <c r="N5" s="198">
        <v>30</v>
      </c>
      <c r="P5" s="198">
        <v>12</v>
      </c>
    </row>
    <row r="6" spans="1:20" ht="20.100000000000001" customHeight="1" x14ac:dyDescent="0.25">
      <c r="A6" s="46">
        <v>150</v>
      </c>
      <c r="B6" s="42">
        <f t="shared" ref="B6:B12" si="3">400/(PI()*$B$1)*(2*($B$1/2)*ASIN((A6)/$B$1))</f>
        <v>19.170947908174757</v>
      </c>
      <c r="C6" s="53">
        <f t="shared" si="0"/>
        <v>22</v>
      </c>
      <c r="E6" s="40">
        <f t="shared" si="1"/>
        <v>730</v>
      </c>
      <c r="G6" s="40" t="s">
        <v>37</v>
      </c>
      <c r="I6" s="52">
        <v>200</v>
      </c>
      <c r="J6" s="54">
        <v>500</v>
      </c>
      <c r="K6" s="53">
        <f t="shared" si="2"/>
        <v>300</v>
      </c>
      <c r="M6" s="199">
        <v>85</v>
      </c>
      <c r="N6" s="199"/>
      <c r="P6" s="198">
        <v>14</v>
      </c>
    </row>
    <row r="7" spans="1:20" ht="20.100000000000001" customHeight="1" x14ac:dyDescent="0.25">
      <c r="A7" s="46">
        <v>200</v>
      </c>
      <c r="B7" s="42">
        <f t="shared" si="3"/>
        <v>25.637686739589977</v>
      </c>
      <c r="C7" s="53">
        <f t="shared" si="0"/>
        <v>28</v>
      </c>
      <c r="E7" s="40">
        <f t="shared" si="1"/>
        <v>740</v>
      </c>
      <c r="G7" s="40" t="s">
        <v>41</v>
      </c>
      <c r="I7" s="52">
        <v>250</v>
      </c>
      <c r="J7" s="54">
        <v>600</v>
      </c>
      <c r="K7" s="53">
        <f t="shared" si="2"/>
        <v>350</v>
      </c>
      <c r="P7" s="198">
        <v>16</v>
      </c>
    </row>
    <row r="8" spans="1:20" ht="20.100000000000001" customHeight="1" x14ac:dyDescent="0.25">
      <c r="A8" s="46">
        <v>250</v>
      </c>
      <c r="B8" s="42">
        <f t="shared" si="3"/>
        <v>32.172249302066497</v>
      </c>
      <c r="C8" s="53">
        <f t="shared" si="0"/>
        <v>35</v>
      </c>
      <c r="E8" s="40">
        <f t="shared" si="1"/>
        <v>750</v>
      </c>
      <c r="G8" s="180" t="s">
        <v>113</v>
      </c>
      <c r="I8" s="52">
        <v>300</v>
      </c>
      <c r="J8" s="54">
        <v>700</v>
      </c>
      <c r="K8" s="53">
        <f t="shared" si="2"/>
        <v>400</v>
      </c>
      <c r="P8" s="198">
        <v>18</v>
      </c>
    </row>
    <row r="9" spans="1:20" ht="20.100000000000001" customHeight="1" x14ac:dyDescent="0.25">
      <c r="A9" s="46">
        <v>300</v>
      </c>
      <c r="B9" s="42">
        <f t="shared" si="3"/>
        <v>38.794673608271317</v>
      </c>
      <c r="C9" s="53">
        <f t="shared" si="0"/>
        <v>41</v>
      </c>
      <c r="E9" s="40">
        <f t="shared" si="1"/>
        <v>760</v>
      </c>
      <c r="G9" s="180" t="s">
        <v>114</v>
      </c>
      <c r="I9" s="52">
        <v>400</v>
      </c>
      <c r="J9" s="54">
        <v>800</v>
      </c>
      <c r="K9" s="53">
        <f t="shared" si="2"/>
        <v>400</v>
      </c>
      <c r="P9" s="198">
        <v>20</v>
      </c>
    </row>
    <row r="10" spans="1:20" ht="20.100000000000001" customHeight="1" x14ac:dyDescent="0.25">
      <c r="A10" s="46">
        <v>400</v>
      </c>
      <c r="B10" s="42">
        <f t="shared" si="3"/>
        <v>52.395952173781851</v>
      </c>
      <c r="C10" s="53">
        <f t="shared" si="0"/>
        <v>55</v>
      </c>
      <c r="E10" s="40">
        <f t="shared" si="1"/>
        <v>770</v>
      </c>
      <c r="G10" s="180" t="s">
        <v>115</v>
      </c>
      <c r="I10" s="52">
        <v>500</v>
      </c>
      <c r="J10" s="54">
        <v>900</v>
      </c>
      <c r="K10" s="53">
        <f t="shared" si="2"/>
        <v>400</v>
      </c>
      <c r="P10" s="198">
        <v>22</v>
      </c>
    </row>
    <row r="11" spans="1:20" ht="20.100000000000001" customHeight="1" x14ac:dyDescent="0.25">
      <c r="A11" s="46">
        <v>500</v>
      </c>
      <c r="B11" s="42">
        <f t="shared" si="3"/>
        <v>66.666666666666686</v>
      </c>
      <c r="C11" s="53">
        <f t="shared" si="0"/>
        <v>69</v>
      </c>
      <c r="E11" s="40">
        <f t="shared" si="1"/>
        <v>780</v>
      </c>
      <c r="G11" s="180" t="s">
        <v>116</v>
      </c>
      <c r="I11" s="55">
        <v>600</v>
      </c>
      <c r="J11" s="112">
        <v>1000</v>
      </c>
      <c r="K11" s="53">
        <f t="shared" si="2"/>
        <v>400</v>
      </c>
      <c r="P11" s="199">
        <v>24</v>
      </c>
    </row>
    <row r="12" spans="1:20" ht="20.100000000000001" customHeight="1" x14ac:dyDescent="0.25">
      <c r="A12" s="47">
        <v>600</v>
      </c>
      <c r="B12" s="59">
        <f t="shared" si="3"/>
        <v>81.933105879653382</v>
      </c>
      <c r="C12" s="56">
        <f t="shared" si="0"/>
        <v>84</v>
      </c>
      <c r="E12" s="40">
        <f t="shared" si="1"/>
        <v>790</v>
      </c>
      <c r="G12" s="180" t="s">
        <v>117</v>
      </c>
    </row>
    <row r="13" spans="1:20" ht="20.100000000000001" customHeight="1" x14ac:dyDescent="0.25">
      <c r="A13" s="42"/>
      <c r="B13" s="42"/>
      <c r="C13" s="54"/>
      <c r="E13" s="40">
        <f t="shared" si="1"/>
        <v>800</v>
      </c>
      <c r="G13" s="180" t="s">
        <v>118</v>
      </c>
    </row>
    <row r="14" spans="1:20" ht="20.100000000000001" customHeight="1" x14ac:dyDescent="0.25">
      <c r="A14" s="42"/>
      <c r="B14" s="42"/>
      <c r="C14" s="54"/>
      <c r="E14" s="40">
        <f t="shared" si="1"/>
        <v>810</v>
      </c>
      <c r="G14" s="41" t="s">
        <v>43</v>
      </c>
    </row>
    <row r="15" spans="1:20" ht="20.100000000000001" customHeight="1" x14ac:dyDescent="0.25">
      <c r="A15" s="42"/>
      <c r="B15" s="42"/>
      <c r="C15" s="54"/>
      <c r="E15" s="40">
        <f t="shared" si="1"/>
        <v>820</v>
      </c>
    </row>
    <row r="16" spans="1:20" ht="20.100000000000001" customHeight="1" x14ac:dyDescent="0.25">
      <c r="A16" s="42"/>
      <c r="B16" s="42"/>
      <c r="C16" s="54"/>
      <c r="E16" s="40">
        <f t="shared" si="1"/>
        <v>830</v>
      </c>
    </row>
    <row r="17" spans="1:5" ht="20.100000000000001" customHeight="1" x14ac:dyDescent="0.25">
      <c r="A17" s="42"/>
      <c r="B17" s="42"/>
      <c r="C17" s="54"/>
      <c r="E17" s="40">
        <f t="shared" si="1"/>
        <v>840</v>
      </c>
    </row>
    <row r="18" spans="1:5" ht="20.100000000000001" customHeight="1" x14ac:dyDescent="0.25">
      <c r="A18" s="42"/>
      <c r="B18" s="42"/>
      <c r="C18" s="54"/>
      <c r="E18" s="40">
        <f t="shared" si="1"/>
        <v>850</v>
      </c>
    </row>
    <row r="19" spans="1:5" ht="20.100000000000001" customHeight="1" x14ac:dyDescent="0.25">
      <c r="E19" s="40">
        <f t="shared" si="1"/>
        <v>860</v>
      </c>
    </row>
    <row r="20" spans="1:5" ht="20.100000000000001" customHeight="1" x14ac:dyDescent="0.25">
      <c r="E20" s="40">
        <f t="shared" si="1"/>
        <v>870</v>
      </c>
    </row>
    <row r="21" spans="1:5" ht="20.100000000000001" customHeight="1" x14ac:dyDescent="0.25">
      <c r="E21" s="40">
        <f t="shared" si="1"/>
        <v>880</v>
      </c>
    </row>
    <row r="22" spans="1:5" ht="20.100000000000001" customHeight="1" x14ac:dyDescent="0.25">
      <c r="E22" s="40">
        <f t="shared" si="1"/>
        <v>890</v>
      </c>
    </row>
    <row r="23" spans="1:5" ht="20.100000000000001" customHeight="1" x14ac:dyDescent="0.25">
      <c r="E23" s="40">
        <f t="shared" si="1"/>
        <v>900</v>
      </c>
    </row>
    <row r="24" spans="1:5" ht="20.100000000000001" customHeight="1" x14ac:dyDescent="0.25">
      <c r="E24" s="40">
        <f t="shared" si="1"/>
        <v>910</v>
      </c>
    </row>
    <row r="25" spans="1:5" ht="20.100000000000001" customHeight="1" x14ac:dyDescent="0.25">
      <c r="E25" s="40">
        <f t="shared" si="1"/>
        <v>920</v>
      </c>
    </row>
    <row r="26" spans="1:5" ht="20.100000000000001" customHeight="1" x14ac:dyDescent="0.25">
      <c r="E26" s="40">
        <f t="shared" si="1"/>
        <v>930</v>
      </c>
    </row>
    <row r="27" spans="1:5" ht="20.100000000000001" customHeight="1" x14ac:dyDescent="0.25">
      <c r="E27" s="40">
        <f t="shared" si="1"/>
        <v>940</v>
      </c>
    </row>
    <row r="28" spans="1:5" ht="20.100000000000001" customHeight="1" x14ac:dyDescent="0.25">
      <c r="E28" s="40">
        <f t="shared" si="1"/>
        <v>950</v>
      </c>
    </row>
    <row r="29" spans="1:5" ht="20.100000000000001" customHeight="1" x14ac:dyDescent="0.25">
      <c r="E29" s="40">
        <f t="shared" si="1"/>
        <v>960</v>
      </c>
    </row>
    <row r="30" spans="1:5" ht="20.100000000000001" customHeight="1" x14ac:dyDescent="0.25">
      <c r="E30" s="40">
        <f t="shared" si="1"/>
        <v>970</v>
      </c>
    </row>
    <row r="31" spans="1:5" ht="20.100000000000001" customHeight="1" x14ac:dyDescent="0.25">
      <c r="E31" s="40">
        <f t="shared" si="1"/>
        <v>980</v>
      </c>
    </row>
    <row r="32" spans="1:5" ht="20.100000000000001" customHeight="1" x14ac:dyDescent="0.25">
      <c r="E32" s="40">
        <f t="shared" si="1"/>
        <v>990</v>
      </c>
    </row>
    <row r="33" spans="5:5" ht="20.100000000000001" customHeight="1" x14ac:dyDescent="0.25">
      <c r="E33" s="40">
        <f t="shared" si="1"/>
        <v>1000</v>
      </c>
    </row>
    <row r="34" spans="5:5" ht="20.100000000000001" customHeight="1" x14ac:dyDescent="0.25">
      <c r="E34" s="40">
        <f t="shared" si="1"/>
        <v>1010</v>
      </c>
    </row>
    <row r="35" spans="5:5" ht="20.100000000000001" customHeight="1" x14ac:dyDescent="0.25">
      <c r="E35" s="40">
        <f t="shared" si="1"/>
        <v>1020</v>
      </c>
    </row>
    <row r="36" spans="5:5" ht="20.100000000000001" customHeight="1" x14ac:dyDescent="0.25">
      <c r="E36" s="40">
        <f t="shared" si="1"/>
        <v>1030</v>
      </c>
    </row>
    <row r="37" spans="5:5" ht="20.100000000000001" customHeight="1" x14ac:dyDescent="0.25">
      <c r="E37" s="40">
        <f t="shared" si="1"/>
        <v>1040</v>
      </c>
    </row>
    <row r="38" spans="5:5" ht="20.100000000000001" customHeight="1" x14ac:dyDescent="0.25">
      <c r="E38" s="40">
        <f t="shared" si="1"/>
        <v>1050</v>
      </c>
    </row>
    <row r="39" spans="5:5" ht="20.100000000000001" customHeight="1" x14ac:dyDescent="0.25">
      <c r="E39" s="40">
        <f t="shared" si="1"/>
        <v>1060</v>
      </c>
    </row>
    <row r="40" spans="5:5" ht="20.100000000000001" customHeight="1" x14ac:dyDescent="0.25">
      <c r="E40" s="40">
        <f t="shared" si="1"/>
        <v>1070</v>
      </c>
    </row>
    <row r="41" spans="5:5" ht="20.100000000000001" customHeight="1" x14ac:dyDescent="0.25">
      <c r="E41" s="40">
        <f t="shared" si="1"/>
        <v>1080</v>
      </c>
    </row>
    <row r="42" spans="5:5" ht="20.100000000000001" customHeight="1" x14ac:dyDescent="0.25">
      <c r="E42" s="40">
        <f t="shared" si="1"/>
        <v>1090</v>
      </c>
    </row>
    <row r="43" spans="5:5" ht="20.100000000000001" customHeight="1" x14ac:dyDescent="0.25">
      <c r="E43" s="40">
        <f t="shared" si="1"/>
        <v>1100</v>
      </c>
    </row>
    <row r="44" spans="5:5" ht="20.100000000000001" customHeight="1" x14ac:dyDescent="0.25">
      <c r="E44" s="40">
        <f t="shared" si="1"/>
        <v>1110</v>
      </c>
    </row>
    <row r="45" spans="5:5" ht="20.100000000000001" customHeight="1" x14ac:dyDescent="0.25">
      <c r="E45" s="40">
        <f t="shared" si="1"/>
        <v>1120</v>
      </c>
    </row>
    <row r="46" spans="5:5" ht="20.100000000000001" customHeight="1" x14ac:dyDescent="0.25">
      <c r="E46" s="40">
        <f t="shared" si="1"/>
        <v>1130</v>
      </c>
    </row>
    <row r="47" spans="5:5" ht="20.100000000000001" customHeight="1" x14ac:dyDescent="0.25">
      <c r="E47" s="40">
        <f t="shared" si="1"/>
        <v>1140</v>
      </c>
    </row>
    <row r="48" spans="5:5" ht="20.100000000000001" customHeight="1" x14ac:dyDescent="0.25">
      <c r="E48" s="40">
        <f t="shared" si="1"/>
        <v>1150</v>
      </c>
    </row>
    <row r="49" spans="5:5" ht="20.100000000000001" customHeight="1" x14ac:dyDescent="0.25">
      <c r="E49" s="40">
        <f t="shared" si="1"/>
        <v>1160</v>
      </c>
    </row>
    <row r="50" spans="5:5" ht="20.100000000000001" customHeight="1" x14ac:dyDescent="0.25">
      <c r="E50" s="40">
        <f t="shared" si="1"/>
        <v>1170</v>
      </c>
    </row>
    <row r="51" spans="5:5" ht="20.100000000000001" customHeight="1" x14ac:dyDescent="0.25">
      <c r="E51" s="40">
        <f t="shared" si="1"/>
        <v>1180</v>
      </c>
    </row>
    <row r="52" spans="5:5" ht="20.100000000000001" customHeight="1" x14ac:dyDescent="0.25">
      <c r="E52" s="40">
        <f t="shared" si="1"/>
        <v>1190</v>
      </c>
    </row>
    <row r="53" spans="5:5" ht="20.100000000000001" customHeight="1" x14ac:dyDescent="0.25">
      <c r="E53" s="40">
        <f t="shared" si="1"/>
        <v>1200</v>
      </c>
    </row>
    <row r="54" spans="5:5" ht="20.100000000000001" customHeight="1" x14ac:dyDescent="0.25">
      <c r="E54" s="40">
        <f t="shared" si="1"/>
        <v>1210</v>
      </c>
    </row>
    <row r="55" spans="5:5" ht="20.100000000000001" customHeight="1" x14ac:dyDescent="0.25">
      <c r="E55" s="40">
        <f t="shared" si="1"/>
        <v>1220</v>
      </c>
    </row>
    <row r="56" spans="5:5" ht="20.100000000000001" customHeight="1" x14ac:dyDescent="0.25">
      <c r="E56" s="40">
        <f t="shared" si="1"/>
        <v>1230</v>
      </c>
    </row>
    <row r="57" spans="5:5" ht="20.100000000000001" customHeight="1" x14ac:dyDescent="0.25">
      <c r="E57" s="40">
        <f t="shared" si="1"/>
        <v>1240</v>
      </c>
    </row>
    <row r="58" spans="5:5" ht="20.100000000000001" customHeight="1" x14ac:dyDescent="0.25">
      <c r="E58" s="40">
        <f t="shared" si="1"/>
        <v>1250</v>
      </c>
    </row>
    <row r="59" spans="5:5" ht="20.100000000000001" customHeight="1" x14ac:dyDescent="0.25">
      <c r="E59" s="40">
        <f t="shared" si="1"/>
        <v>1260</v>
      </c>
    </row>
    <row r="60" spans="5:5" ht="20.100000000000001" customHeight="1" x14ac:dyDescent="0.25">
      <c r="E60" s="40">
        <f t="shared" si="1"/>
        <v>1270</v>
      </c>
    </row>
    <row r="61" spans="5:5" ht="20.100000000000001" customHeight="1" x14ac:dyDescent="0.25">
      <c r="E61" s="40">
        <f t="shared" si="1"/>
        <v>1280</v>
      </c>
    </row>
    <row r="62" spans="5:5" ht="20.100000000000001" customHeight="1" x14ac:dyDescent="0.25">
      <c r="E62" s="40">
        <f t="shared" si="1"/>
        <v>1290</v>
      </c>
    </row>
    <row r="63" spans="5:5" ht="20.100000000000001" customHeight="1" x14ac:dyDescent="0.25">
      <c r="E63" s="40">
        <f t="shared" si="1"/>
        <v>1300</v>
      </c>
    </row>
    <row r="64" spans="5:5" ht="20.100000000000001" customHeight="1" x14ac:dyDescent="0.25">
      <c r="E64" s="40">
        <f t="shared" si="1"/>
        <v>1310</v>
      </c>
    </row>
    <row r="65" spans="5:5" ht="20.100000000000001" customHeight="1" x14ac:dyDescent="0.25">
      <c r="E65" s="40">
        <f t="shared" si="1"/>
        <v>1320</v>
      </c>
    </row>
    <row r="66" spans="5:5" ht="20.100000000000001" customHeight="1" x14ac:dyDescent="0.25">
      <c r="E66" s="40">
        <f t="shared" si="1"/>
        <v>1330</v>
      </c>
    </row>
    <row r="67" spans="5:5" ht="20.100000000000001" customHeight="1" x14ac:dyDescent="0.25">
      <c r="E67" s="40">
        <f t="shared" si="1"/>
        <v>1340</v>
      </c>
    </row>
    <row r="68" spans="5:5" ht="20.100000000000001" customHeight="1" x14ac:dyDescent="0.25">
      <c r="E68" s="40">
        <f t="shared" si="1"/>
        <v>1350</v>
      </c>
    </row>
    <row r="69" spans="5:5" ht="20.100000000000001" customHeight="1" x14ac:dyDescent="0.25">
      <c r="E69" s="40">
        <f t="shared" ref="E69:E132" si="4">E68+10</f>
        <v>1360</v>
      </c>
    </row>
    <row r="70" spans="5:5" ht="20.100000000000001" customHeight="1" x14ac:dyDescent="0.25">
      <c r="E70" s="40">
        <f t="shared" si="4"/>
        <v>1370</v>
      </c>
    </row>
    <row r="71" spans="5:5" ht="20.100000000000001" customHeight="1" x14ac:dyDescent="0.25">
      <c r="E71" s="40">
        <f t="shared" si="4"/>
        <v>1380</v>
      </c>
    </row>
    <row r="72" spans="5:5" ht="20.100000000000001" customHeight="1" x14ac:dyDescent="0.25">
      <c r="E72" s="40">
        <f t="shared" si="4"/>
        <v>1390</v>
      </c>
    </row>
    <row r="73" spans="5:5" ht="20.100000000000001" customHeight="1" x14ac:dyDescent="0.25">
      <c r="E73" s="40">
        <f t="shared" si="4"/>
        <v>1400</v>
      </c>
    </row>
    <row r="74" spans="5:5" ht="20.100000000000001" customHeight="1" x14ac:dyDescent="0.25">
      <c r="E74" s="40">
        <f t="shared" si="4"/>
        <v>1410</v>
      </c>
    </row>
    <row r="75" spans="5:5" ht="20.100000000000001" customHeight="1" x14ac:dyDescent="0.25">
      <c r="E75" s="40">
        <f t="shared" si="4"/>
        <v>1420</v>
      </c>
    </row>
    <row r="76" spans="5:5" ht="20.100000000000001" customHeight="1" x14ac:dyDescent="0.25">
      <c r="E76" s="40">
        <f t="shared" si="4"/>
        <v>1430</v>
      </c>
    </row>
    <row r="77" spans="5:5" ht="20.100000000000001" customHeight="1" x14ac:dyDescent="0.25">
      <c r="E77" s="40">
        <f t="shared" si="4"/>
        <v>1440</v>
      </c>
    </row>
    <row r="78" spans="5:5" ht="20.100000000000001" customHeight="1" x14ac:dyDescent="0.25">
      <c r="E78" s="40">
        <f t="shared" si="4"/>
        <v>1450</v>
      </c>
    </row>
    <row r="79" spans="5:5" ht="20.100000000000001" customHeight="1" x14ac:dyDescent="0.25">
      <c r="E79" s="40">
        <f t="shared" si="4"/>
        <v>1460</v>
      </c>
    </row>
    <row r="80" spans="5:5" ht="20.100000000000001" customHeight="1" x14ac:dyDescent="0.25">
      <c r="E80" s="40">
        <f t="shared" si="4"/>
        <v>1470</v>
      </c>
    </row>
    <row r="81" spans="5:5" ht="20.100000000000001" customHeight="1" x14ac:dyDescent="0.25">
      <c r="E81" s="40">
        <f t="shared" si="4"/>
        <v>1480</v>
      </c>
    </row>
    <row r="82" spans="5:5" ht="20.100000000000001" customHeight="1" x14ac:dyDescent="0.25">
      <c r="E82" s="40">
        <f t="shared" si="4"/>
        <v>1490</v>
      </c>
    </row>
    <row r="83" spans="5:5" ht="20.100000000000001" customHeight="1" x14ac:dyDescent="0.25">
      <c r="E83" s="40">
        <f t="shared" si="4"/>
        <v>1500</v>
      </c>
    </row>
    <row r="84" spans="5:5" ht="20.100000000000001" customHeight="1" x14ac:dyDescent="0.25">
      <c r="E84" s="40">
        <f t="shared" si="4"/>
        <v>1510</v>
      </c>
    </row>
    <row r="85" spans="5:5" ht="20.100000000000001" customHeight="1" x14ac:dyDescent="0.25">
      <c r="E85" s="40">
        <f t="shared" si="4"/>
        <v>1520</v>
      </c>
    </row>
    <row r="86" spans="5:5" ht="20.100000000000001" customHeight="1" x14ac:dyDescent="0.25">
      <c r="E86" s="40">
        <f t="shared" si="4"/>
        <v>1530</v>
      </c>
    </row>
    <row r="87" spans="5:5" ht="20.100000000000001" customHeight="1" x14ac:dyDescent="0.25">
      <c r="E87" s="40">
        <f t="shared" si="4"/>
        <v>1540</v>
      </c>
    </row>
    <row r="88" spans="5:5" ht="20.100000000000001" customHeight="1" x14ac:dyDescent="0.25">
      <c r="E88" s="40">
        <f t="shared" si="4"/>
        <v>1550</v>
      </c>
    </row>
    <row r="89" spans="5:5" ht="20.100000000000001" customHeight="1" x14ac:dyDescent="0.25">
      <c r="E89" s="40">
        <f t="shared" si="4"/>
        <v>1560</v>
      </c>
    </row>
    <row r="90" spans="5:5" ht="20.100000000000001" customHeight="1" x14ac:dyDescent="0.25">
      <c r="E90" s="40">
        <f t="shared" si="4"/>
        <v>1570</v>
      </c>
    </row>
    <row r="91" spans="5:5" ht="20.100000000000001" customHeight="1" x14ac:dyDescent="0.25">
      <c r="E91" s="40">
        <f t="shared" si="4"/>
        <v>1580</v>
      </c>
    </row>
    <row r="92" spans="5:5" ht="20.100000000000001" customHeight="1" x14ac:dyDescent="0.25">
      <c r="E92" s="40">
        <f t="shared" si="4"/>
        <v>1590</v>
      </c>
    </row>
    <row r="93" spans="5:5" ht="20.100000000000001" customHeight="1" x14ac:dyDescent="0.25">
      <c r="E93" s="40">
        <f t="shared" si="4"/>
        <v>1600</v>
      </c>
    </row>
    <row r="94" spans="5:5" ht="20.100000000000001" customHeight="1" x14ac:dyDescent="0.25">
      <c r="E94" s="40">
        <f t="shared" si="4"/>
        <v>1610</v>
      </c>
    </row>
    <row r="95" spans="5:5" ht="20.100000000000001" customHeight="1" x14ac:dyDescent="0.25">
      <c r="E95" s="40">
        <f t="shared" si="4"/>
        <v>1620</v>
      </c>
    </row>
    <row r="96" spans="5:5" ht="20.100000000000001" customHeight="1" x14ac:dyDescent="0.25">
      <c r="E96" s="40">
        <f t="shared" si="4"/>
        <v>1630</v>
      </c>
    </row>
    <row r="97" spans="5:5" ht="20.100000000000001" customHeight="1" x14ac:dyDescent="0.25">
      <c r="E97" s="40">
        <f t="shared" si="4"/>
        <v>1640</v>
      </c>
    </row>
    <row r="98" spans="5:5" ht="20.100000000000001" customHeight="1" x14ac:dyDescent="0.25">
      <c r="E98" s="40">
        <f t="shared" si="4"/>
        <v>1650</v>
      </c>
    </row>
    <row r="99" spans="5:5" ht="20.100000000000001" customHeight="1" x14ac:dyDescent="0.25">
      <c r="E99" s="40">
        <f t="shared" si="4"/>
        <v>1660</v>
      </c>
    </row>
    <row r="100" spans="5:5" ht="20.100000000000001" customHeight="1" x14ac:dyDescent="0.25">
      <c r="E100" s="40">
        <f t="shared" si="4"/>
        <v>1670</v>
      </c>
    </row>
    <row r="101" spans="5:5" ht="20.100000000000001" customHeight="1" x14ac:dyDescent="0.25">
      <c r="E101" s="40">
        <f t="shared" si="4"/>
        <v>1680</v>
      </c>
    </row>
    <row r="102" spans="5:5" ht="20.100000000000001" customHeight="1" x14ac:dyDescent="0.25">
      <c r="E102" s="40">
        <f t="shared" si="4"/>
        <v>1690</v>
      </c>
    </row>
    <row r="103" spans="5:5" ht="20.100000000000001" customHeight="1" x14ac:dyDescent="0.25">
      <c r="E103" s="40">
        <f t="shared" si="4"/>
        <v>1700</v>
      </c>
    </row>
    <row r="104" spans="5:5" ht="20.100000000000001" customHeight="1" x14ac:dyDescent="0.25">
      <c r="E104" s="40">
        <f t="shared" si="4"/>
        <v>1710</v>
      </c>
    </row>
    <row r="105" spans="5:5" ht="20.100000000000001" customHeight="1" x14ac:dyDescent="0.25">
      <c r="E105" s="40">
        <f t="shared" si="4"/>
        <v>1720</v>
      </c>
    </row>
    <row r="106" spans="5:5" ht="20.100000000000001" customHeight="1" x14ac:dyDescent="0.25">
      <c r="E106" s="40">
        <f t="shared" si="4"/>
        <v>1730</v>
      </c>
    </row>
    <row r="107" spans="5:5" ht="20.100000000000001" customHeight="1" x14ac:dyDescent="0.25">
      <c r="E107" s="40">
        <f t="shared" si="4"/>
        <v>1740</v>
      </c>
    </row>
    <row r="108" spans="5:5" ht="20.100000000000001" customHeight="1" x14ac:dyDescent="0.25">
      <c r="E108" s="40">
        <f t="shared" si="4"/>
        <v>1750</v>
      </c>
    </row>
    <row r="109" spans="5:5" ht="20.100000000000001" customHeight="1" x14ac:dyDescent="0.25">
      <c r="E109" s="40">
        <f t="shared" si="4"/>
        <v>1760</v>
      </c>
    </row>
    <row r="110" spans="5:5" ht="20.100000000000001" customHeight="1" x14ac:dyDescent="0.25">
      <c r="E110" s="40">
        <f t="shared" si="4"/>
        <v>1770</v>
      </c>
    </row>
    <row r="111" spans="5:5" ht="20.100000000000001" customHeight="1" x14ac:dyDescent="0.25">
      <c r="E111" s="40">
        <f t="shared" si="4"/>
        <v>1780</v>
      </c>
    </row>
    <row r="112" spans="5:5" ht="20.100000000000001" customHeight="1" x14ac:dyDescent="0.25">
      <c r="E112" s="40">
        <f t="shared" si="4"/>
        <v>1790</v>
      </c>
    </row>
    <row r="113" spans="5:5" ht="20.100000000000001" customHeight="1" x14ac:dyDescent="0.25">
      <c r="E113" s="40">
        <f t="shared" si="4"/>
        <v>1800</v>
      </c>
    </row>
    <row r="114" spans="5:5" ht="20.100000000000001" customHeight="1" x14ac:dyDescent="0.25">
      <c r="E114" s="40">
        <f t="shared" si="4"/>
        <v>1810</v>
      </c>
    </row>
    <row r="115" spans="5:5" ht="20.100000000000001" customHeight="1" x14ac:dyDescent="0.25">
      <c r="E115" s="40">
        <f t="shared" si="4"/>
        <v>1820</v>
      </c>
    </row>
    <row r="116" spans="5:5" ht="20.100000000000001" customHeight="1" x14ac:dyDescent="0.25">
      <c r="E116" s="40">
        <f t="shared" si="4"/>
        <v>1830</v>
      </c>
    </row>
    <row r="117" spans="5:5" ht="20.100000000000001" customHeight="1" x14ac:dyDescent="0.25">
      <c r="E117" s="40">
        <f t="shared" si="4"/>
        <v>1840</v>
      </c>
    </row>
    <row r="118" spans="5:5" ht="20.100000000000001" customHeight="1" x14ac:dyDescent="0.25">
      <c r="E118" s="40">
        <f t="shared" si="4"/>
        <v>1850</v>
      </c>
    </row>
    <row r="119" spans="5:5" ht="20.100000000000001" customHeight="1" x14ac:dyDescent="0.25">
      <c r="E119" s="40">
        <f t="shared" si="4"/>
        <v>1860</v>
      </c>
    </row>
    <row r="120" spans="5:5" ht="20.100000000000001" customHeight="1" x14ac:dyDescent="0.25">
      <c r="E120" s="40">
        <f t="shared" si="4"/>
        <v>1870</v>
      </c>
    </row>
    <row r="121" spans="5:5" ht="20.100000000000001" customHeight="1" x14ac:dyDescent="0.25">
      <c r="E121" s="40">
        <f t="shared" si="4"/>
        <v>1880</v>
      </c>
    </row>
    <row r="122" spans="5:5" ht="20.100000000000001" customHeight="1" x14ac:dyDescent="0.25">
      <c r="E122" s="40">
        <f t="shared" si="4"/>
        <v>1890</v>
      </c>
    </row>
    <row r="123" spans="5:5" ht="20.100000000000001" customHeight="1" x14ac:dyDescent="0.25">
      <c r="E123" s="40">
        <f t="shared" si="4"/>
        <v>1900</v>
      </c>
    </row>
    <row r="124" spans="5:5" ht="20.100000000000001" customHeight="1" x14ac:dyDescent="0.25">
      <c r="E124" s="40">
        <f t="shared" si="4"/>
        <v>1910</v>
      </c>
    </row>
    <row r="125" spans="5:5" ht="20.100000000000001" customHeight="1" x14ac:dyDescent="0.25">
      <c r="E125" s="40">
        <f t="shared" si="4"/>
        <v>1920</v>
      </c>
    </row>
    <row r="126" spans="5:5" ht="20.100000000000001" customHeight="1" x14ac:dyDescent="0.25">
      <c r="E126" s="40">
        <f t="shared" si="4"/>
        <v>1930</v>
      </c>
    </row>
    <row r="127" spans="5:5" ht="20.100000000000001" customHeight="1" x14ac:dyDescent="0.25">
      <c r="E127" s="40">
        <f t="shared" si="4"/>
        <v>1940</v>
      </c>
    </row>
    <row r="128" spans="5:5" ht="20.100000000000001" customHeight="1" x14ac:dyDescent="0.25">
      <c r="E128" s="40">
        <f t="shared" si="4"/>
        <v>1950</v>
      </c>
    </row>
    <row r="129" spans="5:5" ht="20.100000000000001" customHeight="1" x14ac:dyDescent="0.25">
      <c r="E129" s="40">
        <f t="shared" si="4"/>
        <v>1960</v>
      </c>
    </row>
    <row r="130" spans="5:5" ht="20.100000000000001" customHeight="1" x14ac:dyDescent="0.25">
      <c r="E130" s="40">
        <f t="shared" si="4"/>
        <v>1970</v>
      </c>
    </row>
    <row r="131" spans="5:5" ht="20.100000000000001" customHeight="1" x14ac:dyDescent="0.25">
      <c r="E131" s="40">
        <f t="shared" si="4"/>
        <v>1980</v>
      </c>
    </row>
    <row r="132" spans="5:5" ht="20.100000000000001" customHeight="1" x14ac:dyDescent="0.25">
      <c r="E132" s="40">
        <f t="shared" si="4"/>
        <v>1990</v>
      </c>
    </row>
    <row r="133" spans="5:5" ht="20.100000000000001" customHeight="1" x14ac:dyDescent="0.25">
      <c r="E133" s="40">
        <f t="shared" ref="E133:E196" si="5">E132+10</f>
        <v>2000</v>
      </c>
    </row>
    <row r="134" spans="5:5" ht="20.100000000000001" customHeight="1" x14ac:dyDescent="0.25">
      <c r="E134" s="40">
        <f t="shared" si="5"/>
        <v>2010</v>
      </c>
    </row>
    <row r="135" spans="5:5" ht="20.100000000000001" customHeight="1" x14ac:dyDescent="0.25">
      <c r="E135" s="40">
        <f t="shared" si="5"/>
        <v>2020</v>
      </c>
    </row>
    <row r="136" spans="5:5" ht="20.100000000000001" customHeight="1" x14ac:dyDescent="0.25">
      <c r="E136" s="40">
        <f t="shared" si="5"/>
        <v>2030</v>
      </c>
    </row>
    <row r="137" spans="5:5" ht="20.100000000000001" customHeight="1" x14ac:dyDescent="0.25">
      <c r="E137" s="40">
        <f t="shared" si="5"/>
        <v>2040</v>
      </c>
    </row>
    <row r="138" spans="5:5" ht="20.100000000000001" customHeight="1" x14ac:dyDescent="0.25">
      <c r="E138" s="40">
        <f t="shared" si="5"/>
        <v>2050</v>
      </c>
    </row>
    <row r="139" spans="5:5" ht="20.100000000000001" customHeight="1" x14ac:dyDescent="0.25">
      <c r="E139" s="40">
        <f t="shared" si="5"/>
        <v>2060</v>
      </c>
    </row>
    <row r="140" spans="5:5" ht="20.100000000000001" customHeight="1" x14ac:dyDescent="0.25">
      <c r="E140" s="40">
        <f t="shared" si="5"/>
        <v>2070</v>
      </c>
    </row>
    <row r="141" spans="5:5" ht="20.100000000000001" customHeight="1" x14ac:dyDescent="0.25">
      <c r="E141" s="40">
        <f t="shared" si="5"/>
        <v>2080</v>
      </c>
    </row>
    <row r="142" spans="5:5" ht="20.100000000000001" customHeight="1" x14ac:dyDescent="0.25">
      <c r="E142" s="40">
        <f t="shared" si="5"/>
        <v>2090</v>
      </c>
    </row>
    <row r="143" spans="5:5" ht="20.100000000000001" customHeight="1" x14ac:dyDescent="0.25">
      <c r="E143" s="40">
        <f t="shared" si="5"/>
        <v>2100</v>
      </c>
    </row>
    <row r="144" spans="5:5" ht="20.100000000000001" customHeight="1" x14ac:dyDescent="0.25">
      <c r="E144" s="40">
        <f t="shared" si="5"/>
        <v>2110</v>
      </c>
    </row>
    <row r="145" spans="5:5" ht="20.100000000000001" customHeight="1" x14ac:dyDescent="0.25">
      <c r="E145" s="40">
        <f t="shared" si="5"/>
        <v>2120</v>
      </c>
    </row>
    <row r="146" spans="5:5" ht="20.100000000000001" customHeight="1" x14ac:dyDescent="0.25">
      <c r="E146" s="40">
        <f t="shared" si="5"/>
        <v>2130</v>
      </c>
    </row>
    <row r="147" spans="5:5" ht="20.100000000000001" customHeight="1" x14ac:dyDescent="0.25">
      <c r="E147" s="40">
        <f t="shared" si="5"/>
        <v>2140</v>
      </c>
    </row>
    <row r="148" spans="5:5" ht="20.100000000000001" customHeight="1" x14ac:dyDescent="0.25">
      <c r="E148" s="40">
        <f t="shared" si="5"/>
        <v>2150</v>
      </c>
    </row>
    <row r="149" spans="5:5" ht="20.100000000000001" customHeight="1" x14ac:dyDescent="0.25">
      <c r="E149" s="40">
        <f t="shared" si="5"/>
        <v>2160</v>
      </c>
    </row>
    <row r="150" spans="5:5" ht="20.100000000000001" customHeight="1" x14ac:dyDescent="0.25">
      <c r="E150" s="40">
        <f t="shared" si="5"/>
        <v>2170</v>
      </c>
    </row>
    <row r="151" spans="5:5" ht="20.100000000000001" customHeight="1" x14ac:dyDescent="0.25">
      <c r="E151" s="40">
        <f t="shared" si="5"/>
        <v>2180</v>
      </c>
    </row>
    <row r="152" spans="5:5" ht="20.100000000000001" customHeight="1" x14ac:dyDescent="0.25">
      <c r="E152" s="40">
        <f t="shared" si="5"/>
        <v>2190</v>
      </c>
    </row>
    <row r="153" spans="5:5" ht="20.100000000000001" customHeight="1" x14ac:dyDescent="0.25">
      <c r="E153" s="40">
        <f t="shared" si="5"/>
        <v>2200</v>
      </c>
    </row>
    <row r="154" spans="5:5" ht="20.100000000000001" customHeight="1" x14ac:dyDescent="0.25">
      <c r="E154" s="40">
        <f t="shared" si="5"/>
        <v>2210</v>
      </c>
    </row>
    <row r="155" spans="5:5" ht="20.100000000000001" customHeight="1" x14ac:dyDescent="0.25">
      <c r="E155" s="40">
        <f t="shared" si="5"/>
        <v>2220</v>
      </c>
    </row>
    <row r="156" spans="5:5" ht="20.100000000000001" customHeight="1" x14ac:dyDescent="0.25">
      <c r="E156" s="40">
        <f t="shared" si="5"/>
        <v>2230</v>
      </c>
    </row>
    <row r="157" spans="5:5" ht="20.100000000000001" customHeight="1" x14ac:dyDescent="0.25">
      <c r="E157" s="40">
        <f t="shared" si="5"/>
        <v>2240</v>
      </c>
    </row>
    <row r="158" spans="5:5" ht="20.100000000000001" customHeight="1" x14ac:dyDescent="0.25">
      <c r="E158" s="40">
        <f t="shared" si="5"/>
        <v>2250</v>
      </c>
    </row>
    <row r="159" spans="5:5" ht="20.100000000000001" customHeight="1" x14ac:dyDescent="0.25">
      <c r="E159" s="40">
        <f t="shared" si="5"/>
        <v>2260</v>
      </c>
    </row>
    <row r="160" spans="5:5" ht="20.100000000000001" customHeight="1" x14ac:dyDescent="0.25">
      <c r="E160" s="40">
        <f t="shared" si="5"/>
        <v>2270</v>
      </c>
    </row>
    <row r="161" spans="5:5" ht="20.100000000000001" customHeight="1" x14ac:dyDescent="0.25">
      <c r="E161" s="40">
        <f t="shared" si="5"/>
        <v>2280</v>
      </c>
    </row>
    <row r="162" spans="5:5" ht="20.100000000000001" customHeight="1" x14ac:dyDescent="0.25">
      <c r="E162" s="40">
        <f t="shared" si="5"/>
        <v>2290</v>
      </c>
    </row>
    <row r="163" spans="5:5" ht="20.100000000000001" customHeight="1" x14ac:dyDescent="0.25">
      <c r="E163" s="40">
        <f t="shared" si="5"/>
        <v>2300</v>
      </c>
    </row>
    <row r="164" spans="5:5" ht="20.100000000000001" customHeight="1" x14ac:dyDescent="0.25">
      <c r="E164" s="40">
        <f t="shared" si="5"/>
        <v>2310</v>
      </c>
    </row>
    <row r="165" spans="5:5" ht="20.100000000000001" customHeight="1" x14ac:dyDescent="0.25">
      <c r="E165" s="40">
        <f t="shared" si="5"/>
        <v>2320</v>
      </c>
    </row>
    <row r="166" spans="5:5" ht="20.100000000000001" customHeight="1" x14ac:dyDescent="0.25">
      <c r="E166" s="40">
        <f t="shared" si="5"/>
        <v>2330</v>
      </c>
    </row>
    <row r="167" spans="5:5" ht="20.100000000000001" customHeight="1" x14ac:dyDescent="0.25">
      <c r="E167" s="40">
        <f t="shared" si="5"/>
        <v>2340</v>
      </c>
    </row>
    <row r="168" spans="5:5" ht="20.100000000000001" customHeight="1" x14ac:dyDescent="0.25">
      <c r="E168" s="40">
        <f t="shared" si="5"/>
        <v>2350</v>
      </c>
    </row>
    <row r="169" spans="5:5" ht="20.100000000000001" customHeight="1" x14ac:dyDescent="0.25">
      <c r="E169" s="40">
        <f t="shared" si="5"/>
        <v>2360</v>
      </c>
    </row>
    <row r="170" spans="5:5" ht="20.100000000000001" customHeight="1" x14ac:dyDescent="0.25">
      <c r="E170" s="40">
        <f t="shared" si="5"/>
        <v>2370</v>
      </c>
    </row>
    <row r="171" spans="5:5" ht="20.100000000000001" customHeight="1" x14ac:dyDescent="0.25">
      <c r="E171" s="40">
        <f t="shared" si="5"/>
        <v>2380</v>
      </c>
    </row>
    <row r="172" spans="5:5" ht="20.100000000000001" customHeight="1" x14ac:dyDescent="0.25">
      <c r="E172" s="40">
        <f t="shared" si="5"/>
        <v>2390</v>
      </c>
    </row>
    <row r="173" spans="5:5" ht="20.100000000000001" customHeight="1" x14ac:dyDescent="0.25">
      <c r="E173" s="40">
        <f t="shared" si="5"/>
        <v>2400</v>
      </c>
    </row>
    <row r="174" spans="5:5" ht="20.100000000000001" customHeight="1" x14ac:dyDescent="0.25">
      <c r="E174" s="40">
        <f t="shared" si="5"/>
        <v>2410</v>
      </c>
    </row>
    <row r="175" spans="5:5" ht="20.100000000000001" customHeight="1" x14ac:dyDescent="0.25">
      <c r="E175" s="40">
        <f t="shared" si="5"/>
        <v>2420</v>
      </c>
    </row>
    <row r="176" spans="5:5" ht="20.100000000000001" customHeight="1" x14ac:dyDescent="0.25">
      <c r="E176" s="40">
        <f t="shared" si="5"/>
        <v>2430</v>
      </c>
    </row>
    <row r="177" spans="5:5" ht="20.100000000000001" customHeight="1" x14ac:dyDescent="0.25">
      <c r="E177" s="40">
        <f t="shared" si="5"/>
        <v>2440</v>
      </c>
    </row>
    <row r="178" spans="5:5" ht="20.100000000000001" customHeight="1" x14ac:dyDescent="0.25">
      <c r="E178" s="40">
        <f t="shared" si="5"/>
        <v>2450</v>
      </c>
    </row>
    <row r="179" spans="5:5" ht="20.100000000000001" customHeight="1" x14ac:dyDescent="0.25">
      <c r="E179" s="40">
        <f t="shared" si="5"/>
        <v>2460</v>
      </c>
    </row>
    <row r="180" spans="5:5" ht="20.100000000000001" customHeight="1" x14ac:dyDescent="0.25">
      <c r="E180" s="40">
        <f t="shared" si="5"/>
        <v>2470</v>
      </c>
    </row>
    <row r="181" spans="5:5" ht="20.100000000000001" customHeight="1" x14ac:dyDescent="0.25">
      <c r="E181" s="40">
        <f t="shared" si="5"/>
        <v>2480</v>
      </c>
    </row>
    <row r="182" spans="5:5" ht="20.100000000000001" customHeight="1" x14ac:dyDescent="0.25">
      <c r="E182" s="40">
        <f t="shared" si="5"/>
        <v>2490</v>
      </c>
    </row>
    <row r="183" spans="5:5" ht="20.100000000000001" customHeight="1" x14ac:dyDescent="0.25">
      <c r="E183" s="40">
        <f t="shared" si="5"/>
        <v>2500</v>
      </c>
    </row>
    <row r="184" spans="5:5" ht="20.100000000000001" customHeight="1" x14ac:dyDescent="0.25">
      <c r="E184" s="40">
        <f t="shared" si="5"/>
        <v>2510</v>
      </c>
    </row>
    <row r="185" spans="5:5" ht="20.100000000000001" customHeight="1" x14ac:dyDescent="0.25">
      <c r="E185" s="40">
        <f t="shared" si="5"/>
        <v>2520</v>
      </c>
    </row>
    <row r="186" spans="5:5" ht="20.100000000000001" customHeight="1" x14ac:dyDescent="0.25">
      <c r="E186" s="40">
        <f t="shared" si="5"/>
        <v>2530</v>
      </c>
    </row>
    <row r="187" spans="5:5" ht="20.100000000000001" customHeight="1" x14ac:dyDescent="0.25">
      <c r="E187" s="40">
        <f t="shared" si="5"/>
        <v>2540</v>
      </c>
    </row>
    <row r="188" spans="5:5" ht="20.100000000000001" customHeight="1" x14ac:dyDescent="0.25">
      <c r="E188" s="40">
        <f t="shared" si="5"/>
        <v>2550</v>
      </c>
    </row>
    <row r="189" spans="5:5" ht="20.100000000000001" customHeight="1" x14ac:dyDescent="0.25">
      <c r="E189" s="40">
        <f t="shared" si="5"/>
        <v>2560</v>
      </c>
    </row>
    <row r="190" spans="5:5" ht="20.100000000000001" customHeight="1" x14ac:dyDescent="0.25">
      <c r="E190" s="40">
        <f t="shared" si="5"/>
        <v>2570</v>
      </c>
    </row>
    <row r="191" spans="5:5" ht="20.100000000000001" customHeight="1" x14ac:dyDescent="0.25">
      <c r="E191" s="40">
        <f t="shared" si="5"/>
        <v>2580</v>
      </c>
    </row>
    <row r="192" spans="5:5" ht="20.100000000000001" customHeight="1" x14ac:dyDescent="0.25">
      <c r="E192" s="40">
        <f t="shared" si="5"/>
        <v>2590</v>
      </c>
    </row>
    <row r="193" spans="5:5" ht="20.100000000000001" customHeight="1" x14ac:dyDescent="0.25">
      <c r="E193" s="40">
        <f t="shared" si="5"/>
        <v>2600</v>
      </c>
    </row>
    <row r="194" spans="5:5" ht="20.100000000000001" customHeight="1" x14ac:dyDescent="0.25">
      <c r="E194" s="40">
        <f t="shared" si="5"/>
        <v>2610</v>
      </c>
    </row>
    <row r="195" spans="5:5" ht="20.100000000000001" customHeight="1" x14ac:dyDescent="0.25">
      <c r="E195" s="40">
        <f t="shared" si="5"/>
        <v>2620</v>
      </c>
    </row>
    <row r="196" spans="5:5" ht="20.100000000000001" customHeight="1" x14ac:dyDescent="0.25">
      <c r="E196" s="40">
        <f t="shared" si="5"/>
        <v>2630</v>
      </c>
    </row>
    <row r="197" spans="5:5" ht="20.100000000000001" customHeight="1" x14ac:dyDescent="0.25">
      <c r="E197" s="40">
        <f t="shared" ref="E197:E233" si="6">E196+10</f>
        <v>2640</v>
      </c>
    </row>
    <row r="198" spans="5:5" ht="20.100000000000001" customHeight="1" x14ac:dyDescent="0.25">
      <c r="E198" s="40">
        <f t="shared" si="6"/>
        <v>2650</v>
      </c>
    </row>
    <row r="199" spans="5:5" ht="20.100000000000001" customHeight="1" x14ac:dyDescent="0.25">
      <c r="E199" s="40">
        <f t="shared" si="6"/>
        <v>2660</v>
      </c>
    </row>
    <row r="200" spans="5:5" ht="20.100000000000001" customHeight="1" x14ac:dyDescent="0.25">
      <c r="E200" s="40">
        <f t="shared" si="6"/>
        <v>2670</v>
      </c>
    </row>
    <row r="201" spans="5:5" ht="20.100000000000001" customHeight="1" x14ac:dyDescent="0.25">
      <c r="E201" s="40">
        <f t="shared" si="6"/>
        <v>2680</v>
      </c>
    </row>
    <row r="202" spans="5:5" ht="20.100000000000001" customHeight="1" x14ac:dyDescent="0.25">
      <c r="E202" s="40">
        <f t="shared" si="6"/>
        <v>2690</v>
      </c>
    </row>
    <row r="203" spans="5:5" ht="20.100000000000001" customHeight="1" x14ac:dyDescent="0.25">
      <c r="E203" s="40">
        <f t="shared" si="6"/>
        <v>2700</v>
      </c>
    </row>
    <row r="204" spans="5:5" ht="20.100000000000001" customHeight="1" x14ac:dyDescent="0.25">
      <c r="E204" s="40">
        <f t="shared" si="6"/>
        <v>2710</v>
      </c>
    </row>
    <row r="205" spans="5:5" ht="20.100000000000001" customHeight="1" x14ac:dyDescent="0.25">
      <c r="E205" s="40">
        <f t="shared" si="6"/>
        <v>2720</v>
      </c>
    </row>
    <row r="206" spans="5:5" ht="20.100000000000001" customHeight="1" x14ac:dyDescent="0.25">
      <c r="E206" s="40">
        <f t="shared" si="6"/>
        <v>2730</v>
      </c>
    </row>
    <row r="207" spans="5:5" ht="20.100000000000001" customHeight="1" x14ac:dyDescent="0.25">
      <c r="E207" s="40">
        <f t="shared" si="6"/>
        <v>2740</v>
      </c>
    </row>
    <row r="208" spans="5:5" ht="20.100000000000001" customHeight="1" x14ac:dyDescent="0.25">
      <c r="E208" s="40">
        <f t="shared" si="6"/>
        <v>2750</v>
      </c>
    </row>
    <row r="209" spans="5:5" ht="20.100000000000001" customHeight="1" x14ac:dyDescent="0.25">
      <c r="E209" s="40">
        <f t="shared" si="6"/>
        <v>2760</v>
      </c>
    </row>
    <row r="210" spans="5:5" ht="20.100000000000001" customHeight="1" x14ac:dyDescent="0.25">
      <c r="E210" s="40">
        <f t="shared" si="6"/>
        <v>2770</v>
      </c>
    </row>
    <row r="211" spans="5:5" ht="20.100000000000001" customHeight="1" x14ac:dyDescent="0.25">
      <c r="E211" s="40">
        <f t="shared" si="6"/>
        <v>2780</v>
      </c>
    </row>
    <row r="212" spans="5:5" ht="20.100000000000001" customHeight="1" x14ac:dyDescent="0.25">
      <c r="E212" s="40">
        <f t="shared" si="6"/>
        <v>2790</v>
      </c>
    </row>
    <row r="213" spans="5:5" ht="20.100000000000001" customHeight="1" x14ac:dyDescent="0.25">
      <c r="E213" s="40">
        <f t="shared" si="6"/>
        <v>2800</v>
      </c>
    </row>
    <row r="214" spans="5:5" ht="20.100000000000001" customHeight="1" x14ac:dyDescent="0.25">
      <c r="E214" s="40">
        <f t="shared" si="6"/>
        <v>2810</v>
      </c>
    </row>
    <row r="215" spans="5:5" ht="20.100000000000001" customHeight="1" x14ac:dyDescent="0.25">
      <c r="E215" s="40">
        <f t="shared" si="6"/>
        <v>2820</v>
      </c>
    </row>
    <row r="216" spans="5:5" ht="20.100000000000001" customHeight="1" x14ac:dyDescent="0.25">
      <c r="E216" s="40">
        <f t="shared" si="6"/>
        <v>2830</v>
      </c>
    </row>
    <row r="217" spans="5:5" ht="20.100000000000001" customHeight="1" x14ac:dyDescent="0.25">
      <c r="E217" s="40">
        <f t="shared" si="6"/>
        <v>2840</v>
      </c>
    </row>
    <row r="218" spans="5:5" ht="20.100000000000001" customHeight="1" x14ac:dyDescent="0.25">
      <c r="E218" s="40">
        <f t="shared" si="6"/>
        <v>2850</v>
      </c>
    </row>
    <row r="219" spans="5:5" ht="20.100000000000001" customHeight="1" x14ac:dyDescent="0.25">
      <c r="E219" s="40">
        <f t="shared" si="6"/>
        <v>2860</v>
      </c>
    </row>
    <row r="220" spans="5:5" ht="20.100000000000001" customHeight="1" x14ac:dyDescent="0.25">
      <c r="E220" s="40">
        <f t="shared" si="6"/>
        <v>2870</v>
      </c>
    </row>
    <row r="221" spans="5:5" ht="20.100000000000001" customHeight="1" x14ac:dyDescent="0.25">
      <c r="E221" s="40">
        <f t="shared" si="6"/>
        <v>2880</v>
      </c>
    </row>
    <row r="222" spans="5:5" ht="20.100000000000001" customHeight="1" x14ac:dyDescent="0.25">
      <c r="E222" s="40">
        <f t="shared" si="6"/>
        <v>2890</v>
      </c>
    </row>
    <row r="223" spans="5:5" ht="20.100000000000001" customHeight="1" x14ac:dyDescent="0.25">
      <c r="E223" s="40">
        <f t="shared" si="6"/>
        <v>2900</v>
      </c>
    </row>
    <row r="224" spans="5:5" ht="20.100000000000001" customHeight="1" x14ac:dyDescent="0.25">
      <c r="E224" s="40">
        <f t="shared" si="6"/>
        <v>2910</v>
      </c>
    </row>
    <row r="225" spans="5:5" ht="20.100000000000001" customHeight="1" x14ac:dyDescent="0.25">
      <c r="E225" s="40">
        <f t="shared" si="6"/>
        <v>2920</v>
      </c>
    </row>
    <row r="226" spans="5:5" ht="20.100000000000001" customHeight="1" x14ac:dyDescent="0.25">
      <c r="E226" s="40">
        <f t="shared" si="6"/>
        <v>2930</v>
      </c>
    </row>
    <row r="227" spans="5:5" ht="20.100000000000001" customHeight="1" x14ac:dyDescent="0.25">
      <c r="E227" s="40">
        <f t="shared" si="6"/>
        <v>2940</v>
      </c>
    </row>
    <row r="228" spans="5:5" ht="20.100000000000001" customHeight="1" x14ac:dyDescent="0.25">
      <c r="E228" s="40">
        <f t="shared" si="6"/>
        <v>2950</v>
      </c>
    </row>
    <row r="229" spans="5:5" ht="20.100000000000001" customHeight="1" x14ac:dyDescent="0.25">
      <c r="E229" s="40">
        <f t="shared" si="6"/>
        <v>2960</v>
      </c>
    </row>
    <row r="230" spans="5:5" ht="20.100000000000001" customHeight="1" x14ac:dyDescent="0.25">
      <c r="E230" s="40">
        <f t="shared" si="6"/>
        <v>2970</v>
      </c>
    </row>
    <row r="231" spans="5:5" ht="20.100000000000001" customHeight="1" x14ac:dyDescent="0.25">
      <c r="E231" s="40">
        <f t="shared" si="6"/>
        <v>2980</v>
      </c>
    </row>
    <row r="232" spans="5:5" ht="20.100000000000001" customHeight="1" x14ac:dyDescent="0.25">
      <c r="E232" s="40">
        <f t="shared" si="6"/>
        <v>2990</v>
      </c>
    </row>
    <row r="233" spans="5:5" ht="20.100000000000001" customHeight="1" x14ac:dyDescent="0.25">
      <c r="E233" s="41">
        <f t="shared" si="6"/>
        <v>3000</v>
      </c>
    </row>
    <row r="234" spans="5:5" ht="20.100000000000001" customHeight="1" x14ac:dyDescent="0.25">
      <c r="E234" s="42"/>
    </row>
    <row r="235" spans="5:5" ht="20.100000000000001" customHeight="1" x14ac:dyDescent="0.25">
      <c r="E235" s="42"/>
    </row>
    <row r="236" spans="5:5" ht="20.100000000000001" customHeight="1" x14ac:dyDescent="0.25">
      <c r="E236" s="42"/>
    </row>
    <row r="237" spans="5:5" ht="20.100000000000001" customHeight="1" x14ac:dyDescent="0.25">
      <c r="E237" s="42"/>
    </row>
    <row r="238" spans="5:5" ht="20.100000000000001" customHeight="1" x14ac:dyDescent="0.25">
      <c r="E238" s="42"/>
    </row>
    <row r="239" spans="5:5" ht="20.100000000000001" customHeight="1" x14ac:dyDescent="0.25">
      <c r="E239" s="42"/>
    </row>
    <row r="240" spans="5:5" ht="20.100000000000001" customHeight="1" x14ac:dyDescent="0.25">
      <c r="E240" s="42"/>
    </row>
    <row r="241" spans="5:5" ht="20.100000000000001" customHeight="1" x14ac:dyDescent="0.25">
      <c r="E241" s="42"/>
    </row>
    <row r="242" spans="5:5" ht="20.100000000000001" customHeight="1" x14ac:dyDescent="0.25">
      <c r="E242" s="42"/>
    </row>
    <row r="243" spans="5:5" ht="20.100000000000001" customHeight="1" x14ac:dyDescent="0.25">
      <c r="E243" s="42"/>
    </row>
    <row r="244" spans="5:5" ht="20.100000000000001" customHeight="1" x14ac:dyDescent="0.25">
      <c r="E244" s="42"/>
    </row>
    <row r="245" spans="5:5" ht="20.100000000000001" customHeight="1" x14ac:dyDescent="0.25">
      <c r="E245" s="42"/>
    </row>
    <row r="246" spans="5:5" ht="20.100000000000001" customHeight="1" x14ac:dyDescent="0.25">
      <c r="E246" s="42"/>
    </row>
    <row r="247" spans="5:5" ht="20.100000000000001" customHeight="1" x14ac:dyDescent="0.25">
      <c r="E247" s="42"/>
    </row>
    <row r="248" spans="5:5" ht="20.100000000000001" customHeight="1" x14ac:dyDescent="0.25">
      <c r="E248" s="42"/>
    </row>
    <row r="249" spans="5:5" ht="20.100000000000001" customHeight="1" x14ac:dyDescent="0.25">
      <c r="E249" s="42"/>
    </row>
    <row r="250" spans="5:5" ht="20.100000000000001" customHeight="1" x14ac:dyDescent="0.25">
      <c r="E250" s="42"/>
    </row>
    <row r="251" spans="5:5" ht="20.100000000000001" customHeight="1" x14ac:dyDescent="0.25">
      <c r="E251" s="42"/>
    </row>
    <row r="252" spans="5:5" ht="20.100000000000001" customHeight="1" x14ac:dyDescent="0.25">
      <c r="E252" s="42"/>
    </row>
    <row r="253" spans="5:5" ht="20.100000000000001" customHeight="1" x14ac:dyDescent="0.25">
      <c r="E253" s="42"/>
    </row>
    <row r="254" spans="5:5" ht="20.100000000000001" customHeight="1" x14ac:dyDescent="0.25">
      <c r="E254" s="42"/>
    </row>
    <row r="255" spans="5:5" ht="20.100000000000001" customHeight="1" x14ac:dyDescent="0.25">
      <c r="E255" s="42"/>
    </row>
    <row r="256" spans="5:5" ht="20.100000000000001" customHeight="1" x14ac:dyDescent="0.25">
      <c r="E256" s="42"/>
    </row>
    <row r="257" spans="5:5" ht="20.100000000000001" customHeight="1" x14ac:dyDescent="0.25">
      <c r="E257" s="42"/>
    </row>
    <row r="258" spans="5:5" ht="20.100000000000001" customHeight="1" x14ac:dyDescent="0.25">
      <c r="E258" s="42"/>
    </row>
    <row r="259" spans="5:5" ht="20.100000000000001" customHeight="1" x14ac:dyDescent="0.25">
      <c r="E259" s="42"/>
    </row>
    <row r="260" spans="5:5" ht="20.100000000000001" customHeight="1" x14ac:dyDescent="0.25">
      <c r="E260" s="42"/>
    </row>
    <row r="261" spans="5:5" ht="20.100000000000001" customHeight="1" x14ac:dyDescent="0.25">
      <c r="E261" s="42"/>
    </row>
    <row r="262" spans="5:5" ht="20.100000000000001" customHeight="1" x14ac:dyDescent="0.25">
      <c r="E262" s="42"/>
    </row>
    <row r="263" spans="5:5" ht="20.100000000000001" customHeight="1" x14ac:dyDescent="0.25">
      <c r="E263" s="42"/>
    </row>
    <row r="264" spans="5:5" ht="20.100000000000001" customHeight="1" x14ac:dyDescent="0.25">
      <c r="E264" s="42"/>
    </row>
    <row r="265" spans="5:5" ht="20.100000000000001" customHeight="1" x14ac:dyDescent="0.25">
      <c r="E265" s="42"/>
    </row>
    <row r="266" spans="5:5" ht="20.100000000000001" customHeight="1" x14ac:dyDescent="0.25">
      <c r="E266" s="42"/>
    </row>
    <row r="267" spans="5:5" ht="20.100000000000001" customHeight="1" x14ac:dyDescent="0.25">
      <c r="E267" s="42"/>
    </row>
    <row r="268" spans="5:5" ht="20.100000000000001" customHeight="1" x14ac:dyDescent="0.25">
      <c r="E268" s="42"/>
    </row>
    <row r="269" spans="5:5" ht="20.100000000000001" customHeight="1" x14ac:dyDescent="0.25">
      <c r="E269" s="42"/>
    </row>
    <row r="270" spans="5:5" ht="20.100000000000001" customHeight="1" x14ac:dyDescent="0.25">
      <c r="E270" s="42"/>
    </row>
    <row r="271" spans="5:5" ht="20.100000000000001" customHeight="1" x14ac:dyDescent="0.25">
      <c r="E271" s="42"/>
    </row>
    <row r="272" spans="5:5" ht="20.100000000000001" customHeight="1" x14ac:dyDescent="0.25">
      <c r="E272" s="42"/>
    </row>
    <row r="273" spans="5:5" ht="20.100000000000001" customHeight="1" x14ac:dyDescent="0.25">
      <c r="E273" s="42"/>
    </row>
    <row r="274" spans="5:5" ht="20.100000000000001" customHeight="1" x14ac:dyDescent="0.25">
      <c r="E274" s="42"/>
    </row>
    <row r="275" spans="5:5" ht="20.100000000000001" customHeight="1" x14ac:dyDescent="0.25">
      <c r="E275" s="42"/>
    </row>
    <row r="276" spans="5:5" ht="20.100000000000001" customHeight="1" x14ac:dyDescent="0.25">
      <c r="E276" s="42"/>
    </row>
    <row r="277" spans="5:5" ht="20.100000000000001" customHeight="1" x14ac:dyDescent="0.25">
      <c r="E277" s="42"/>
    </row>
    <row r="278" spans="5:5" ht="20.100000000000001" customHeight="1" x14ac:dyDescent="0.25">
      <c r="E278" s="42"/>
    </row>
    <row r="279" spans="5:5" ht="20.100000000000001" customHeight="1" x14ac:dyDescent="0.25">
      <c r="E279" s="42"/>
    </row>
    <row r="280" spans="5:5" ht="20.100000000000001" customHeight="1" x14ac:dyDescent="0.25">
      <c r="E280" s="42"/>
    </row>
    <row r="281" spans="5:5" ht="20.100000000000001" customHeight="1" x14ac:dyDescent="0.25">
      <c r="E281" s="42"/>
    </row>
    <row r="282" spans="5:5" ht="20.100000000000001" customHeight="1" x14ac:dyDescent="0.25">
      <c r="E282" s="42"/>
    </row>
    <row r="283" spans="5:5" ht="20.100000000000001" customHeight="1" x14ac:dyDescent="0.25">
      <c r="E283" s="42"/>
    </row>
    <row r="284" spans="5:5" ht="20.100000000000001" customHeight="1" x14ac:dyDescent="0.25">
      <c r="E284" s="42"/>
    </row>
    <row r="285" spans="5:5" ht="20.100000000000001" customHeight="1" x14ac:dyDescent="0.25">
      <c r="E285" s="42"/>
    </row>
    <row r="286" spans="5:5" ht="20.100000000000001" customHeight="1" x14ac:dyDescent="0.25">
      <c r="E286" s="42"/>
    </row>
    <row r="287" spans="5:5" ht="20.100000000000001" customHeight="1" x14ac:dyDescent="0.25">
      <c r="E287" s="42"/>
    </row>
    <row r="288" spans="5:5" ht="20.100000000000001" customHeight="1" x14ac:dyDescent="0.25">
      <c r="E288" s="42"/>
    </row>
    <row r="289" spans="5:5" ht="20.100000000000001" customHeight="1" x14ac:dyDescent="0.25">
      <c r="E289" s="42"/>
    </row>
    <row r="290" spans="5:5" ht="20.100000000000001" customHeight="1" x14ac:dyDescent="0.25">
      <c r="E290" s="42"/>
    </row>
    <row r="291" spans="5:5" ht="20.100000000000001" customHeight="1" x14ac:dyDescent="0.25">
      <c r="E291" s="42"/>
    </row>
    <row r="292" spans="5:5" ht="20.100000000000001" customHeight="1" x14ac:dyDescent="0.25">
      <c r="E292" s="42"/>
    </row>
    <row r="293" spans="5:5" ht="20.100000000000001" customHeight="1" x14ac:dyDescent="0.25">
      <c r="E293" s="42"/>
    </row>
    <row r="294" spans="5:5" ht="20.100000000000001" customHeight="1" x14ac:dyDescent="0.25">
      <c r="E294" s="42"/>
    </row>
    <row r="295" spans="5:5" ht="20.100000000000001" customHeight="1" x14ac:dyDescent="0.25">
      <c r="E295" s="42"/>
    </row>
    <row r="296" spans="5:5" ht="20.100000000000001" customHeight="1" x14ac:dyDescent="0.25">
      <c r="E296" s="42"/>
    </row>
    <row r="297" spans="5:5" ht="20.100000000000001" customHeight="1" x14ac:dyDescent="0.25">
      <c r="E297" s="42"/>
    </row>
    <row r="298" spans="5:5" ht="20.100000000000001" customHeight="1" x14ac:dyDescent="0.25">
      <c r="E298" s="42"/>
    </row>
    <row r="299" spans="5:5" ht="20.100000000000001" customHeight="1" x14ac:dyDescent="0.25">
      <c r="E299" s="42"/>
    </row>
    <row r="300" spans="5:5" ht="20.100000000000001" customHeight="1" x14ac:dyDescent="0.25">
      <c r="E300" s="42"/>
    </row>
    <row r="301" spans="5:5" ht="20.100000000000001" customHeight="1" x14ac:dyDescent="0.25">
      <c r="E301" s="42"/>
    </row>
    <row r="302" spans="5:5" ht="20.100000000000001" customHeight="1" x14ac:dyDescent="0.25">
      <c r="E302" s="42"/>
    </row>
    <row r="303" spans="5:5" ht="20.100000000000001" customHeight="1" x14ac:dyDescent="0.25">
      <c r="E303" s="42"/>
    </row>
    <row r="304" spans="5:5" ht="20.100000000000001" customHeight="1" x14ac:dyDescent="0.25">
      <c r="E304" s="42"/>
    </row>
    <row r="305" spans="5:5" ht="20.100000000000001" customHeight="1" x14ac:dyDescent="0.25">
      <c r="E305" s="42"/>
    </row>
    <row r="306" spans="5:5" ht="20.100000000000001" customHeight="1" x14ac:dyDescent="0.25">
      <c r="E306" s="42"/>
    </row>
    <row r="307" spans="5:5" ht="20.100000000000001" customHeight="1" x14ac:dyDescent="0.25">
      <c r="E307" s="42"/>
    </row>
    <row r="308" spans="5:5" ht="20.100000000000001" customHeight="1" x14ac:dyDescent="0.25">
      <c r="E308" s="42"/>
    </row>
    <row r="309" spans="5:5" ht="20.100000000000001" customHeight="1" x14ac:dyDescent="0.25">
      <c r="E309" s="42"/>
    </row>
    <row r="310" spans="5:5" ht="20.100000000000001" customHeight="1" x14ac:dyDescent="0.25">
      <c r="E310" s="42"/>
    </row>
    <row r="311" spans="5:5" ht="20.100000000000001" customHeight="1" x14ac:dyDescent="0.25">
      <c r="E311" s="42"/>
    </row>
    <row r="312" spans="5:5" ht="20.100000000000001" customHeight="1" x14ac:dyDescent="0.25">
      <c r="E312" s="42"/>
    </row>
    <row r="313" spans="5:5" ht="20.100000000000001" customHeight="1" x14ac:dyDescent="0.25">
      <c r="E313" s="42"/>
    </row>
    <row r="314" spans="5:5" ht="20.100000000000001" customHeight="1" x14ac:dyDescent="0.25">
      <c r="E314" s="42"/>
    </row>
    <row r="315" spans="5:5" ht="20.100000000000001" customHeight="1" x14ac:dyDescent="0.25">
      <c r="E315" s="42"/>
    </row>
    <row r="316" spans="5:5" ht="20.100000000000001" customHeight="1" x14ac:dyDescent="0.25">
      <c r="E316" s="42"/>
    </row>
    <row r="317" spans="5:5" ht="20.100000000000001" customHeight="1" x14ac:dyDescent="0.25">
      <c r="E317" s="42"/>
    </row>
    <row r="318" spans="5:5" ht="20.100000000000001" customHeight="1" x14ac:dyDescent="0.25">
      <c r="E318" s="42"/>
    </row>
    <row r="319" spans="5:5" ht="20.100000000000001" customHeight="1" x14ac:dyDescent="0.25">
      <c r="E319" s="42"/>
    </row>
    <row r="320" spans="5:5" ht="20.100000000000001" customHeight="1" x14ac:dyDescent="0.25">
      <c r="E320" s="42"/>
    </row>
    <row r="321" spans="5:5" ht="20.100000000000001" customHeight="1" x14ac:dyDescent="0.25">
      <c r="E321" s="42"/>
    </row>
    <row r="322" spans="5:5" ht="20.100000000000001" customHeight="1" x14ac:dyDescent="0.25">
      <c r="E322" s="42"/>
    </row>
    <row r="323" spans="5:5" ht="20.100000000000001" customHeight="1" x14ac:dyDescent="0.25">
      <c r="E323" s="42"/>
    </row>
    <row r="324" spans="5:5" ht="20.100000000000001" customHeight="1" x14ac:dyDescent="0.25">
      <c r="E324" s="42"/>
    </row>
    <row r="325" spans="5:5" ht="20.100000000000001" customHeight="1" x14ac:dyDescent="0.25">
      <c r="E325" s="42"/>
    </row>
    <row r="326" spans="5:5" ht="20.100000000000001" customHeight="1" x14ac:dyDescent="0.25">
      <c r="E326" s="42"/>
    </row>
    <row r="327" spans="5:5" ht="20.100000000000001" customHeight="1" x14ac:dyDescent="0.25">
      <c r="E327" s="42"/>
    </row>
    <row r="328" spans="5:5" ht="20.100000000000001" customHeight="1" x14ac:dyDescent="0.25">
      <c r="E328" s="42"/>
    </row>
    <row r="329" spans="5:5" ht="20.100000000000001" customHeight="1" x14ac:dyDescent="0.25">
      <c r="E329" s="42"/>
    </row>
    <row r="330" spans="5:5" ht="20.100000000000001" customHeight="1" x14ac:dyDescent="0.25">
      <c r="E330" s="42"/>
    </row>
    <row r="331" spans="5:5" ht="20.100000000000001" customHeight="1" x14ac:dyDescent="0.25">
      <c r="E331" s="42"/>
    </row>
    <row r="332" spans="5:5" ht="20.100000000000001" customHeight="1" x14ac:dyDescent="0.25">
      <c r="E332" s="42"/>
    </row>
    <row r="333" spans="5:5" ht="20.100000000000001" customHeight="1" x14ac:dyDescent="0.25">
      <c r="E333" s="42"/>
    </row>
    <row r="334" spans="5:5" ht="20.100000000000001" customHeight="1" x14ac:dyDescent="0.25">
      <c r="E334" s="42"/>
    </row>
    <row r="335" spans="5:5" ht="20.100000000000001" customHeight="1" x14ac:dyDescent="0.25">
      <c r="E335" s="42"/>
    </row>
    <row r="336" spans="5:5" ht="20.100000000000001" customHeight="1" x14ac:dyDescent="0.25">
      <c r="E336" s="42"/>
    </row>
    <row r="337" spans="5:5" ht="20.100000000000001" customHeight="1" x14ac:dyDescent="0.25">
      <c r="E337" s="42"/>
    </row>
    <row r="338" spans="5:5" ht="20.100000000000001" customHeight="1" x14ac:dyDescent="0.25">
      <c r="E338" s="42"/>
    </row>
    <row r="339" spans="5:5" ht="20.100000000000001" customHeight="1" x14ac:dyDescent="0.25">
      <c r="E339" s="42"/>
    </row>
    <row r="340" spans="5:5" ht="20.100000000000001" customHeight="1" x14ac:dyDescent="0.25">
      <c r="E340" s="42"/>
    </row>
    <row r="341" spans="5:5" ht="20.100000000000001" customHeight="1" x14ac:dyDescent="0.25">
      <c r="E341" s="42"/>
    </row>
    <row r="342" spans="5:5" ht="20.100000000000001" customHeight="1" x14ac:dyDescent="0.25">
      <c r="E342" s="42"/>
    </row>
    <row r="343" spans="5:5" ht="20.100000000000001" customHeight="1" x14ac:dyDescent="0.25">
      <c r="E343" s="42"/>
    </row>
    <row r="344" spans="5:5" ht="20.100000000000001" customHeight="1" x14ac:dyDescent="0.25">
      <c r="E344" s="42"/>
    </row>
    <row r="345" spans="5:5" ht="20.100000000000001" customHeight="1" x14ac:dyDescent="0.25">
      <c r="E345" s="42"/>
    </row>
    <row r="346" spans="5:5" ht="20.100000000000001" customHeight="1" x14ac:dyDescent="0.25">
      <c r="E346" s="42"/>
    </row>
    <row r="347" spans="5:5" ht="20.100000000000001" customHeight="1" x14ac:dyDescent="0.25">
      <c r="E347" s="42"/>
    </row>
    <row r="348" spans="5:5" ht="20.100000000000001" customHeight="1" x14ac:dyDescent="0.25">
      <c r="E348" s="42"/>
    </row>
    <row r="349" spans="5:5" ht="20.100000000000001" customHeight="1" x14ac:dyDescent="0.25">
      <c r="E349" s="42"/>
    </row>
    <row r="350" spans="5:5" ht="20.100000000000001" customHeight="1" x14ac:dyDescent="0.25">
      <c r="E350" s="42"/>
    </row>
    <row r="351" spans="5:5" ht="20.100000000000001" customHeight="1" x14ac:dyDescent="0.25">
      <c r="E351" s="42"/>
    </row>
    <row r="352" spans="5:5" ht="20.100000000000001" customHeight="1" x14ac:dyDescent="0.25">
      <c r="E352" s="42"/>
    </row>
    <row r="353" spans="5:5" ht="20.100000000000001" customHeight="1" x14ac:dyDescent="0.25">
      <c r="E353" s="42"/>
    </row>
    <row r="354" spans="5:5" ht="20.100000000000001" customHeight="1" x14ac:dyDescent="0.25">
      <c r="E354" s="42"/>
    </row>
    <row r="355" spans="5:5" ht="20.100000000000001" customHeight="1" x14ac:dyDescent="0.25">
      <c r="E355" s="42"/>
    </row>
    <row r="356" spans="5:5" ht="20.100000000000001" customHeight="1" x14ac:dyDescent="0.25">
      <c r="E356" s="42"/>
    </row>
    <row r="357" spans="5:5" ht="20.100000000000001" customHeight="1" x14ac:dyDescent="0.25">
      <c r="E357" s="42"/>
    </row>
    <row r="358" spans="5:5" ht="20.100000000000001" customHeight="1" x14ac:dyDescent="0.25">
      <c r="E358" s="42"/>
    </row>
    <row r="359" spans="5:5" ht="20.100000000000001" customHeight="1" x14ac:dyDescent="0.25">
      <c r="E359" s="42"/>
    </row>
    <row r="360" spans="5:5" ht="20.100000000000001" customHeight="1" x14ac:dyDescent="0.25">
      <c r="E360" s="42"/>
    </row>
    <row r="361" spans="5:5" ht="20.100000000000001" customHeight="1" x14ac:dyDescent="0.25">
      <c r="E361" s="42"/>
    </row>
    <row r="362" spans="5:5" ht="20.100000000000001" customHeight="1" x14ac:dyDescent="0.25">
      <c r="E362" s="42"/>
    </row>
    <row r="363" spans="5:5" ht="20.100000000000001" customHeight="1" x14ac:dyDescent="0.25">
      <c r="E363" s="42"/>
    </row>
    <row r="364" spans="5:5" ht="20.100000000000001" customHeight="1" x14ac:dyDescent="0.25">
      <c r="E364" s="42"/>
    </row>
    <row r="365" spans="5:5" ht="20.100000000000001" customHeight="1" x14ac:dyDescent="0.25">
      <c r="E365" s="42"/>
    </row>
    <row r="366" spans="5:5" ht="20.100000000000001" customHeight="1" x14ac:dyDescent="0.25">
      <c r="E366" s="42"/>
    </row>
    <row r="367" spans="5:5" ht="20.100000000000001" customHeight="1" x14ac:dyDescent="0.25">
      <c r="E367" s="42"/>
    </row>
    <row r="368" spans="5:5" ht="20.100000000000001" customHeight="1" x14ac:dyDescent="0.25">
      <c r="E368" s="42"/>
    </row>
    <row r="369" spans="5:5" ht="20.100000000000001" customHeight="1" x14ac:dyDescent="0.25">
      <c r="E369" s="42"/>
    </row>
    <row r="370" spans="5:5" ht="20.100000000000001" customHeight="1" x14ac:dyDescent="0.25">
      <c r="E370" s="42"/>
    </row>
    <row r="371" spans="5:5" ht="20.100000000000001" customHeight="1" x14ac:dyDescent="0.25">
      <c r="E371" s="42"/>
    </row>
    <row r="372" spans="5:5" ht="20.100000000000001" customHeight="1" x14ac:dyDescent="0.25">
      <c r="E372" s="42"/>
    </row>
  </sheetData>
  <mergeCells count="1">
    <mergeCell ref="B2:C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13</vt:i4>
      </vt:variant>
    </vt:vector>
  </HeadingPairs>
  <TitlesOfParts>
    <vt:vector size="16" baseType="lpstr">
      <vt:lpstr>Schacht_DN_1000</vt:lpstr>
      <vt:lpstr>LV_Texte</vt:lpstr>
      <vt:lpstr>Berechnung</vt:lpstr>
      <vt:lpstr>Abdeckplatte</vt:lpstr>
      <vt:lpstr>Dichtsystem</vt:lpstr>
      <vt:lpstr>DNdR1000</vt:lpstr>
      <vt:lpstr>Schacht_DN_1000!Druckbereich</vt:lpstr>
      <vt:lpstr>Hoehe</vt:lpstr>
      <vt:lpstr>HoeheAR</vt:lpstr>
      <vt:lpstr>Material</vt:lpstr>
      <vt:lpstr>minh</vt:lpstr>
      <vt:lpstr>Muffenplatz</vt:lpstr>
      <vt:lpstr>Schachthals</vt:lpstr>
      <vt:lpstr>Steigbügel</vt:lpstr>
      <vt:lpstr>Steigleiter</vt:lpstr>
      <vt:lpstr>Steigsystem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2020-07-17T09:31:09Z</dcterms:modified>
  <cp:category/>
  <cp:contentStatus/>
</cp:coreProperties>
</file>